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.xml" ContentType="application/vnd.openxmlformats-officedocument.drawing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8.xml" ContentType="application/vnd.openxmlformats-officedocument.drawing+xml"/>
  <Override PartName="/xl/charts/chart5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4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5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6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7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8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9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9.xml" ContentType="application/vnd.openxmlformats-officedocument.drawing+xml"/>
  <Override PartName="/xl/charts/chart60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1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2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3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4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5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6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7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0.xml" ContentType="application/vnd.openxmlformats-officedocument.drawing+xml"/>
  <Override PartName="/xl/charts/chart68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9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0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1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2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1.xml" ContentType="application/vnd.openxmlformats-officedocument.drawing+xml"/>
  <Override PartName="/xl/charts/chart76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7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8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9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80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1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2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3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12.xml" ContentType="application/vnd.openxmlformats-officedocument.drawing+xml"/>
  <Override PartName="/xl/charts/chart84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5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6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7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8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9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90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1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Section 33\Speights, Jenny\Final Reports\Final Report 678\Print ready\"/>
    </mc:Choice>
  </mc:AlternateContent>
  <bookViews>
    <workbookView xWindow="-120" yWindow="-120" windowWidth="25440" windowHeight="15390" firstSheet="11" activeTab="11"/>
  </bookViews>
  <sheets>
    <sheet name="Statewide" sheetId="1" r:id="rId1"/>
    <sheet name="StatewideSimple" sheetId="2" r:id="rId2"/>
    <sheet name="MSAs" sheetId="5" r:id="rId3"/>
    <sheet name="Alex" sheetId="12" r:id="rId4"/>
    <sheet name="CRPC" sheetId="3" r:id="rId5"/>
    <sheet name="HoumaTib" sheetId="4" r:id="rId6"/>
    <sheet name="calcasieu" sheetId="6" r:id="rId7"/>
    <sheet name="lafayette" sheetId="7" r:id="rId8"/>
    <sheet name="NLCOG" sheetId="8" r:id="rId9"/>
    <sheet name="Ouichita" sheetId="9" r:id="rId10"/>
    <sheet name="NORPC" sheetId="10" r:id="rId11"/>
    <sheet name="Tangi" sheetId="11" r:id="rId12"/>
  </sheets>
  <externalReferences>
    <externalReference r:id="rId1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D47" i="1" l="1"/>
  <c r="E47" i="1"/>
  <c r="F47" i="1"/>
  <c r="G47" i="1"/>
  <c r="C47" i="1"/>
  <c r="D43" i="1"/>
  <c r="E43" i="1"/>
  <c r="F43" i="1"/>
  <c r="G43" i="1"/>
  <c r="C43" i="1"/>
  <c r="G39" i="1"/>
  <c r="F39" i="1"/>
  <c r="E39" i="1"/>
  <c r="D39" i="1"/>
  <c r="C39" i="1"/>
  <c r="D33" i="1"/>
  <c r="E33" i="1"/>
  <c r="F33" i="1"/>
  <c r="G33" i="1"/>
  <c r="C33" i="1"/>
  <c r="D23" i="1"/>
  <c r="E23" i="1"/>
  <c r="F23" i="1"/>
  <c r="G23" i="1"/>
  <c r="C23" i="1"/>
  <c r="D19" i="1"/>
  <c r="E19" i="1"/>
  <c r="F19" i="1"/>
  <c r="G19" i="1"/>
  <c r="C19" i="1"/>
  <c r="G15" i="1"/>
  <c r="F15" i="1"/>
  <c r="E15" i="1"/>
  <c r="D15" i="1"/>
  <c r="C15" i="1"/>
  <c r="D35" i="4" l="1"/>
  <c r="E35" i="4"/>
  <c r="F35" i="4"/>
  <c r="G35" i="4"/>
  <c r="C35" i="4"/>
  <c r="D49" i="11"/>
  <c r="E49" i="11"/>
  <c r="F49" i="11"/>
  <c r="G49" i="11"/>
  <c r="C49" i="11"/>
  <c r="D45" i="11"/>
  <c r="E45" i="11"/>
  <c r="F45" i="11"/>
  <c r="G45" i="11"/>
  <c r="C45" i="11"/>
  <c r="G41" i="11"/>
  <c r="F41" i="11"/>
  <c r="E41" i="11"/>
  <c r="D41" i="11"/>
  <c r="C41" i="11"/>
  <c r="D35" i="11"/>
  <c r="E35" i="11"/>
  <c r="F35" i="11"/>
  <c r="G35" i="11"/>
  <c r="C35" i="11"/>
  <c r="D25" i="11"/>
  <c r="E25" i="11"/>
  <c r="F25" i="11"/>
  <c r="G25" i="11"/>
  <c r="C25" i="11"/>
  <c r="D21" i="11"/>
  <c r="E21" i="11"/>
  <c r="F21" i="11"/>
  <c r="G21" i="11"/>
  <c r="C21" i="11"/>
  <c r="G17" i="11"/>
  <c r="F17" i="11"/>
  <c r="E17" i="11"/>
  <c r="D17" i="11"/>
  <c r="C17" i="11"/>
  <c r="C14" i="11"/>
  <c r="D11" i="11"/>
  <c r="E11" i="11"/>
  <c r="F11" i="11"/>
  <c r="G11" i="11"/>
  <c r="C11" i="11"/>
  <c r="D49" i="10"/>
  <c r="E49" i="10"/>
  <c r="F49" i="10"/>
  <c r="G49" i="10"/>
  <c r="C49" i="10"/>
  <c r="D45" i="10"/>
  <c r="E45" i="10"/>
  <c r="F45" i="10"/>
  <c r="G45" i="10"/>
  <c r="C45" i="10"/>
  <c r="G41" i="10"/>
  <c r="F41" i="10"/>
  <c r="E41" i="10"/>
  <c r="D41" i="10"/>
  <c r="C41" i="10"/>
  <c r="G35" i="10"/>
  <c r="D35" i="10"/>
  <c r="E35" i="10"/>
  <c r="F35" i="10"/>
  <c r="C35" i="10"/>
  <c r="D25" i="10"/>
  <c r="E25" i="10"/>
  <c r="F25" i="10"/>
  <c r="G25" i="10"/>
  <c r="C25" i="10"/>
  <c r="D21" i="10"/>
  <c r="E21" i="10"/>
  <c r="F21" i="10"/>
  <c r="G21" i="10"/>
  <c r="C21" i="10"/>
  <c r="G17" i="10"/>
  <c r="F17" i="10"/>
  <c r="D17" i="10"/>
  <c r="C17" i="10"/>
  <c r="E14" i="10"/>
  <c r="D14" i="10"/>
  <c r="C14" i="10"/>
  <c r="D11" i="10"/>
  <c r="E11" i="10"/>
  <c r="F11" i="10"/>
  <c r="G11" i="10"/>
  <c r="C11" i="10"/>
  <c r="D49" i="9"/>
  <c r="E49" i="9"/>
  <c r="F49" i="9"/>
  <c r="G49" i="9"/>
  <c r="C49" i="9"/>
  <c r="G41" i="9"/>
  <c r="F41" i="9"/>
  <c r="E41" i="9"/>
  <c r="D41" i="9"/>
  <c r="C41" i="9"/>
  <c r="D35" i="9"/>
  <c r="E35" i="9"/>
  <c r="F35" i="9"/>
  <c r="G35" i="9"/>
  <c r="C35" i="9"/>
  <c r="D25" i="9"/>
  <c r="E25" i="9"/>
  <c r="F25" i="9"/>
  <c r="G25" i="9"/>
  <c r="C25" i="9"/>
  <c r="D21" i="9"/>
  <c r="E21" i="9"/>
  <c r="F21" i="9"/>
  <c r="G21" i="9"/>
  <c r="C21" i="9"/>
  <c r="G17" i="9"/>
  <c r="F17" i="9"/>
  <c r="E17" i="9"/>
  <c r="D17" i="9"/>
  <c r="C17" i="9"/>
  <c r="F14" i="9"/>
  <c r="D14" i="9"/>
  <c r="C14" i="9"/>
  <c r="D11" i="9"/>
  <c r="E11" i="9"/>
  <c r="F11" i="9"/>
  <c r="G11" i="9"/>
  <c r="C11" i="9"/>
  <c r="D49" i="8"/>
  <c r="E49" i="8"/>
  <c r="F49" i="8"/>
  <c r="G49" i="8"/>
  <c r="C49" i="8"/>
  <c r="D45" i="8"/>
  <c r="E45" i="8"/>
  <c r="F45" i="8"/>
  <c r="G45" i="8"/>
  <c r="C45" i="8"/>
  <c r="G41" i="8"/>
  <c r="F41" i="8"/>
  <c r="D41" i="8"/>
  <c r="C41" i="8"/>
  <c r="D35" i="8"/>
  <c r="E35" i="8"/>
  <c r="F35" i="8"/>
  <c r="G35" i="8"/>
  <c r="C35" i="8"/>
  <c r="D25" i="8"/>
  <c r="E25" i="8"/>
  <c r="F25" i="8"/>
  <c r="G25" i="8"/>
  <c r="C25" i="8"/>
  <c r="D21" i="8"/>
  <c r="E21" i="8"/>
  <c r="F21" i="8"/>
  <c r="G21" i="8"/>
  <c r="C21" i="8"/>
  <c r="G17" i="8"/>
  <c r="F17" i="8"/>
  <c r="E17" i="8"/>
  <c r="D17" i="8"/>
  <c r="C17" i="8"/>
  <c r="G14" i="8"/>
  <c r="E14" i="8"/>
  <c r="C14" i="8"/>
  <c r="D11" i="8"/>
  <c r="E11" i="8"/>
  <c r="F11" i="8"/>
  <c r="G11" i="8"/>
  <c r="C11" i="8"/>
  <c r="D49" i="7"/>
  <c r="E49" i="7"/>
  <c r="F49" i="7"/>
  <c r="G49" i="7"/>
  <c r="C49" i="7"/>
  <c r="D45" i="7"/>
  <c r="E45" i="7"/>
  <c r="F45" i="7"/>
  <c r="G45" i="7"/>
  <c r="C45" i="7"/>
  <c r="G41" i="7"/>
  <c r="F41" i="7"/>
  <c r="E41" i="7"/>
  <c r="D41" i="7"/>
  <c r="C41" i="7"/>
  <c r="D35" i="7"/>
  <c r="E35" i="7"/>
  <c r="F35" i="7"/>
  <c r="G35" i="7"/>
  <c r="C35" i="7"/>
  <c r="D25" i="7"/>
  <c r="E25" i="7"/>
  <c r="F25" i="7"/>
  <c r="G25" i="7"/>
  <c r="C25" i="7"/>
  <c r="D21" i="7"/>
  <c r="E21" i="7"/>
  <c r="F21" i="7"/>
  <c r="G21" i="7"/>
  <c r="C21" i="7"/>
  <c r="G17" i="7"/>
  <c r="F17" i="7"/>
  <c r="E17" i="7"/>
  <c r="D17" i="7"/>
  <c r="C17" i="7"/>
  <c r="C14" i="7"/>
  <c r="D11" i="7"/>
  <c r="E11" i="7"/>
  <c r="F11" i="7"/>
  <c r="G11" i="7"/>
  <c r="C11" i="7"/>
  <c r="D49" i="6"/>
  <c r="E49" i="6"/>
  <c r="F49" i="6"/>
  <c r="G49" i="6"/>
  <c r="C49" i="6"/>
  <c r="D45" i="6"/>
  <c r="E45" i="6"/>
  <c r="F45" i="6"/>
  <c r="G45" i="6"/>
  <c r="C45" i="6"/>
  <c r="G41" i="6"/>
  <c r="F41" i="6"/>
  <c r="E41" i="6"/>
  <c r="D41" i="6"/>
  <c r="C41" i="6"/>
  <c r="D35" i="6"/>
  <c r="E35" i="6"/>
  <c r="F35" i="6"/>
  <c r="G35" i="6"/>
  <c r="C35" i="6"/>
  <c r="D25" i="6"/>
  <c r="E25" i="6"/>
  <c r="F25" i="6"/>
  <c r="G25" i="6"/>
  <c r="C25" i="6"/>
  <c r="D21" i="6"/>
  <c r="E21" i="6"/>
  <c r="F21" i="6"/>
  <c r="G21" i="6"/>
  <c r="C21" i="6"/>
  <c r="F17" i="6"/>
  <c r="E17" i="6"/>
  <c r="C17" i="6"/>
  <c r="C14" i="6"/>
  <c r="D11" i="6"/>
  <c r="E11" i="6"/>
  <c r="F11" i="6"/>
  <c r="G11" i="6"/>
  <c r="C11" i="6"/>
  <c r="E19" i="12"/>
  <c r="D19" i="12"/>
  <c r="C19" i="12"/>
  <c r="D49" i="4"/>
  <c r="E49" i="4"/>
  <c r="F49" i="4"/>
  <c r="G49" i="4"/>
  <c r="C49" i="4"/>
  <c r="D45" i="4"/>
  <c r="E45" i="4"/>
  <c r="F45" i="4"/>
  <c r="G45" i="4"/>
  <c r="C45" i="4"/>
  <c r="D25" i="4"/>
  <c r="F25" i="4"/>
  <c r="G25" i="4"/>
  <c r="C25" i="4"/>
  <c r="G41" i="4"/>
  <c r="F41" i="4"/>
  <c r="E41" i="4"/>
  <c r="D41" i="4"/>
  <c r="C41" i="4"/>
  <c r="D21" i="4"/>
  <c r="E21" i="4"/>
  <c r="F21" i="4"/>
  <c r="G21" i="4"/>
  <c r="C21" i="4"/>
  <c r="D17" i="4"/>
  <c r="C17" i="4"/>
  <c r="D11" i="4"/>
  <c r="E11" i="4"/>
  <c r="F11" i="4"/>
  <c r="G11" i="4"/>
  <c r="C11" i="4"/>
  <c r="D49" i="3"/>
  <c r="E49" i="3"/>
  <c r="F49" i="3"/>
  <c r="G49" i="3"/>
  <c r="C49" i="3"/>
  <c r="D45" i="3"/>
  <c r="E45" i="3"/>
  <c r="F45" i="3"/>
  <c r="G45" i="3"/>
  <c r="C45" i="3"/>
  <c r="E41" i="3"/>
  <c r="D41" i="3"/>
  <c r="C41" i="3"/>
  <c r="D35" i="3"/>
  <c r="E35" i="3"/>
  <c r="F35" i="3"/>
  <c r="G35" i="3"/>
  <c r="C35" i="3"/>
  <c r="D25" i="3"/>
  <c r="E25" i="3"/>
  <c r="F25" i="3"/>
  <c r="G25" i="3"/>
  <c r="C25" i="3"/>
  <c r="D21" i="3"/>
  <c r="E21" i="3"/>
  <c r="F21" i="3"/>
  <c r="G21" i="3"/>
  <c r="C21" i="3"/>
  <c r="D17" i="3"/>
  <c r="C17" i="3"/>
  <c r="E14" i="3"/>
  <c r="D14" i="3"/>
  <c r="C14" i="3"/>
  <c r="D11" i="3"/>
  <c r="E11" i="3"/>
  <c r="F11" i="3"/>
  <c r="G11" i="3"/>
  <c r="C11" i="3"/>
  <c r="G17" i="12"/>
  <c r="E17" i="12"/>
  <c r="D17" i="12"/>
  <c r="D49" i="12"/>
  <c r="E49" i="12"/>
  <c r="F49" i="12"/>
  <c r="G49" i="12"/>
  <c r="C49" i="12"/>
  <c r="D45" i="12"/>
  <c r="E45" i="12"/>
  <c r="F45" i="12"/>
  <c r="G45" i="12"/>
  <c r="C45" i="12"/>
  <c r="G41" i="12"/>
  <c r="F41" i="12"/>
  <c r="E41" i="12"/>
  <c r="D41" i="12"/>
  <c r="C41" i="12"/>
  <c r="D35" i="12" l="1"/>
  <c r="E35" i="12"/>
  <c r="F35" i="12"/>
  <c r="G35" i="12"/>
  <c r="C35" i="12"/>
  <c r="D25" i="12"/>
  <c r="E25" i="12"/>
  <c r="F25" i="12"/>
  <c r="G25" i="12"/>
  <c r="C25" i="12"/>
  <c r="D21" i="12"/>
  <c r="E21" i="12"/>
  <c r="F21" i="12"/>
  <c r="G21" i="12"/>
  <c r="C21" i="12"/>
  <c r="C17" i="12"/>
  <c r="G14" i="12"/>
  <c r="E14" i="12"/>
  <c r="D14" i="12"/>
  <c r="C14" i="12"/>
  <c r="D11" i="12"/>
  <c r="E11" i="12"/>
  <c r="F11" i="12"/>
  <c r="G11" i="12"/>
  <c r="C11" i="12"/>
  <c r="D61" i="12" l="1"/>
  <c r="C61" i="12"/>
  <c r="E61" i="12" l="1"/>
  <c r="F61" i="12"/>
  <c r="G61" i="12"/>
  <c r="C36" i="1" l="1"/>
  <c r="D36" i="1"/>
  <c r="E36" i="1"/>
  <c r="F36" i="1"/>
  <c r="G36" i="1" l="1"/>
  <c r="F53" i="3" l="1"/>
  <c r="C27" i="12"/>
  <c r="G53" i="3"/>
  <c r="D53" i="12"/>
  <c r="F53" i="12"/>
  <c r="E53" i="3"/>
  <c r="G53" i="12"/>
  <c r="D53" i="3"/>
  <c r="C53" i="12"/>
  <c r="C53" i="3"/>
  <c r="G29" i="3" l="1"/>
  <c r="G59" i="12"/>
  <c r="G58" i="12"/>
  <c r="G27" i="12"/>
  <c r="D58" i="12"/>
  <c r="D59" i="12"/>
  <c r="D27" i="12"/>
  <c r="F27" i="12"/>
  <c r="F58" i="12"/>
  <c r="F59" i="12"/>
  <c r="C59" i="12"/>
  <c r="E27" i="12"/>
  <c r="E58" i="12"/>
  <c r="E59" i="12"/>
  <c r="C60" i="12"/>
  <c r="C62" i="12" s="1"/>
  <c r="C29" i="3" l="1"/>
  <c r="E29" i="3"/>
  <c r="D29" i="3"/>
  <c r="G60" i="12"/>
  <c r="G62" i="12" s="1"/>
  <c r="F60" i="12"/>
  <c r="F62" i="12" s="1"/>
  <c r="F29" i="3"/>
  <c r="E60" i="12"/>
  <c r="E62" i="12" s="1"/>
  <c r="D60" i="12"/>
  <c r="D62" i="12" s="1"/>
</calcChain>
</file>

<file path=xl/sharedStrings.xml><?xml version="1.0" encoding="utf-8"?>
<sst xmlns="http://schemas.openxmlformats.org/spreadsheetml/2006/main" count="1207" uniqueCount="64">
  <si>
    <t>Statewide Area Exposure Estimates</t>
  </si>
  <si>
    <t>State:</t>
  </si>
  <si>
    <t>Louisiana</t>
  </si>
  <si>
    <t>Walking</t>
  </si>
  <si>
    <t>Person Trip Rate</t>
  </si>
  <si>
    <t>Source:</t>
  </si>
  <si>
    <t>Default</t>
  </si>
  <si>
    <t>Default Value:</t>
  </si>
  <si>
    <t>User Input Value:</t>
  </si>
  <si>
    <t>Population Estimate</t>
  </si>
  <si>
    <t>Commuter Population Adjustment Factor</t>
  </si>
  <si>
    <t>Estimated Annual Pedestrian Trips</t>
  </si>
  <si>
    <t>Average Trip Length (Miles)</t>
  </si>
  <si>
    <t>Estimated Annual Pedestrian Miles of Travel</t>
  </si>
  <si>
    <t>Average Trip Duration (Minutes)</t>
  </si>
  <si>
    <t>Estimated Annual Pedestrian Hours of Travel</t>
  </si>
  <si>
    <t>Fatalities</t>
  </si>
  <si>
    <t>Fatalities/Million Hours of Travel</t>
  </si>
  <si>
    <t>Bicycling</t>
  </si>
  <si>
    <t>Estimated Annual Bicyclist Trips</t>
  </si>
  <si>
    <t>Estimated Annual Bicyclist Miles of Travel</t>
  </si>
  <si>
    <t>Estimated Annual Bicyclist Hours of Travel</t>
  </si>
  <si>
    <t>Non-Motorized</t>
  </si>
  <si>
    <t>Estimated Annual Non-Motorized Trips</t>
  </si>
  <si>
    <t>Estimated Annual Non-Motorized Miles of Travel</t>
  </si>
  <si>
    <t>Estimated Annual Non-Motorized Hours of Travel</t>
  </si>
  <si>
    <t>Non-Motorized Fatalities</t>
  </si>
  <si>
    <t>Non-Motorized Fatalities/Million Hours of Travel</t>
  </si>
  <si>
    <t>Statewide Area Exposure Estimates: Louisiana</t>
  </si>
  <si>
    <t>Pedestrians</t>
  </si>
  <si>
    <t>Pedestrian Fatalities</t>
  </si>
  <si>
    <t>Pedestrian Fatalities/Million Hours of Travel</t>
  </si>
  <si>
    <t>Bicyclists</t>
  </si>
  <si>
    <t>Bicyclist Fatalities</t>
  </si>
  <si>
    <t>Bicyclist Fatalities/Million Hours of Travel</t>
  </si>
  <si>
    <t>All Non-Motorized Users</t>
  </si>
  <si>
    <t>Total Non-Motorized Fatalities</t>
  </si>
  <si>
    <t>Total Non-Motorized Fatalities/Million Hours of Travel</t>
  </si>
  <si>
    <t>State</t>
  </si>
  <si>
    <t>Census Division</t>
  </si>
  <si>
    <t>Arkansas</t>
  </si>
  <si>
    <t>Oklahoma</t>
  </si>
  <si>
    <t>Texas</t>
  </si>
  <si>
    <t>MPO</t>
  </si>
  <si>
    <t>Percent Bike Commute</t>
  </si>
  <si>
    <t>Percent Walk Commute</t>
  </si>
  <si>
    <t>CBSA Bike Grouping</t>
  </si>
  <si>
    <t>CBSA Walk Grouping</t>
  </si>
  <si>
    <t>Alexandria-Pineville MPO</t>
  </si>
  <si>
    <t>LA</t>
  </si>
  <si>
    <t>Capital Regional Planning Commission</t>
  </si>
  <si>
    <t>Houma-Thibodaux MPO</t>
  </si>
  <si>
    <t>Imperial Calcasieu Regional Planning &amp; Development Commission</t>
  </si>
  <si>
    <t>Lafayette Area MPO</t>
  </si>
  <si>
    <t>Northwest Louisiana COG</t>
  </si>
  <si>
    <t>Ouachata Council of Governments</t>
  </si>
  <si>
    <t>Regional Planning Commission</t>
  </si>
  <si>
    <t>South Tangipahoa MPO</t>
  </si>
  <si>
    <t>Bicycle  Fatalities/Million Hours of Travel</t>
  </si>
  <si>
    <t>MPO Area Exposure Estimates</t>
  </si>
  <si>
    <t>MPO:</t>
  </si>
  <si>
    <t>MPO Population Estimate</t>
  </si>
  <si>
    <t>Commute Population Adjustment Factor</t>
  </si>
  <si>
    <t>Population Adjustment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</si>
</sst>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vertic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vertic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21" xfId="0" applyBorder="1" applyAlignment="1">
      <alignment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>
      <alignment vertical="center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3" borderId="31" xfId="0" applyNumberFormat="1" applyFill="1" applyBorder="1" applyAlignment="1">
      <alignment horizontal="center"/>
    </xf>
    <xf numFmtId="3" fontId="0" fillId="3" borderId="32" xfId="0" applyNumberFormat="1" applyFill="1" applyBorder="1" applyAlignment="1">
      <alignment horizontal="center"/>
    </xf>
    <xf numFmtId="3" fontId="0" fillId="3" borderId="33" xfId="0" applyNumberFormat="1" applyFill="1" applyBorder="1" applyAlignment="1">
      <alignment horizontal="center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3" fontId="0" fillId="3" borderId="18" xfId="0" applyNumberFormat="1" applyFill="1" applyBorder="1" applyAlignment="1">
      <alignment horizontal="center"/>
    </xf>
    <xf numFmtId="3" fontId="0" fillId="3" borderId="37" xfId="0" applyNumberFormat="1" applyFill="1" applyBorder="1" applyAlignment="1">
      <alignment horizontal="center"/>
    </xf>
    <xf numFmtId="3" fontId="0" fillId="3" borderId="38" xfId="0" applyNumberForma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165" fontId="0" fillId="3" borderId="42" xfId="0" applyNumberFormat="1" applyFill="1" applyBorder="1" applyAlignment="1">
      <alignment horizontal="center"/>
    </xf>
    <xf numFmtId="165" fontId="0" fillId="3" borderId="43" xfId="0" applyNumberFormat="1" applyFill="1" applyBorder="1" applyAlignment="1">
      <alignment horizontal="center"/>
    </xf>
    <xf numFmtId="165" fontId="0" fillId="3" borderId="44" xfId="0" applyNumberFormat="1" applyFill="1" applyBorder="1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3" fontId="0" fillId="3" borderId="25" xfId="0" applyNumberFormat="1" applyFill="1" applyBorder="1" applyAlignment="1">
      <alignment horizontal="center"/>
    </xf>
    <xf numFmtId="3" fontId="0" fillId="3" borderId="26" xfId="0" applyNumberFormat="1" applyFill="1" applyBorder="1" applyAlignment="1">
      <alignment horizontal="center"/>
    </xf>
    <xf numFmtId="3" fontId="0" fillId="3" borderId="27" xfId="0" applyNumberFormat="1" applyFill="1" applyBorder="1" applyAlignment="1">
      <alignment horizontal="center"/>
    </xf>
    <xf numFmtId="3" fontId="0" fillId="3" borderId="50" xfId="0" applyNumberFormat="1" applyFill="1" applyBorder="1" applyAlignment="1">
      <alignment horizontal="center"/>
    </xf>
    <xf numFmtId="3" fontId="0" fillId="3" borderId="51" xfId="0" applyNumberFormat="1" applyFill="1" applyBorder="1" applyAlignment="1">
      <alignment horizontal="center"/>
    </xf>
    <xf numFmtId="3" fontId="0" fillId="3" borderId="52" xfId="0" applyNumberFormat="1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0" borderId="0" xfId="0" applyAlignment="1">
      <alignment vertical="center"/>
    </xf>
    <xf numFmtId="10" fontId="0" fillId="0" borderId="0" xfId="1" applyNumberFormat="1" applyFont="1"/>
    <xf numFmtId="0" fontId="2" fillId="4" borderId="23" xfId="0" applyFont="1" applyFill="1" applyBorder="1"/>
    <xf numFmtId="0" fontId="0" fillId="0" borderId="39" xfId="0" applyBorder="1"/>
    <xf numFmtId="2" fontId="0" fillId="0" borderId="0" xfId="0" applyNumberFormat="1"/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1" fontId="0" fillId="0" borderId="0" xfId="0" applyNumberFormat="1" applyAlignment="1">
      <alignment horizontal="center"/>
    </xf>
    <xf numFmtId="165" fontId="0" fillId="3" borderId="51" xfId="0" applyNumberFormat="1" applyFill="1" applyBorder="1" applyAlignment="1">
      <alignment horizontal="center"/>
    </xf>
    <xf numFmtId="0" fontId="0" fillId="0" borderId="51" xfId="0" applyBorder="1"/>
    <xf numFmtId="0" fontId="2" fillId="0" borderId="51" xfId="0" applyFont="1" applyBorder="1" applyAlignment="1">
      <alignment horizontal="center"/>
    </xf>
    <xf numFmtId="0" fontId="0" fillId="0" borderId="51" xfId="0" applyBorder="1" applyProtection="1">
      <protection locked="0"/>
    </xf>
    <xf numFmtId="0" fontId="2" fillId="0" borderId="51" xfId="0" applyFont="1" applyBorder="1"/>
    <xf numFmtId="165" fontId="0" fillId="0" borderId="51" xfId="0" applyNumberFormat="1" applyBorder="1" applyAlignment="1">
      <alignment horizontal="center"/>
    </xf>
    <xf numFmtId="0" fontId="2" fillId="0" borderId="51" xfId="0" applyFont="1" applyBorder="1" applyProtection="1">
      <protection locked="0"/>
    </xf>
    <xf numFmtId="0" fontId="2" fillId="4" borderId="53" xfId="0" applyFont="1" applyFill="1" applyBorder="1" applyAlignment="1">
      <alignment horizontal="left"/>
    </xf>
    <xf numFmtId="0" fontId="2" fillId="4" borderId="49" xfId="0" applyFont="1" applyFill="1" applyBorder="1" applyAlignment="1">
      <alignment horizontal="left"/>
    </xf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0" fontId="2" fillId="3" borderId="23" xfId="0" applyFont="1" applyFill="1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2" fillId="4" borderId="40" xfId="0" applyFont="1" applyFill="1" applyBorder="1" applyAlignment="1" applyProtection="1">
      <protection locked="0"/>
    </xf>
    <xf numFmtId="0" fontId="0" fillId="0" borderId="41" xfId="0" applyBorder="1" applyAlignment="1" applyProtection="1">
      <protection locked="0"/>
    </xf>
    <xf numFmtId="0" fontId="0" fillId="0" borderId="45" xfId="0" applyBorder="1" applyAlignment="1"/>
    <xf numFmtId="0" fontId="0" fillId="0" borderId="46" xfId="0" applyBorder="1" applyAlignment="1"/>
    <xf numFmtId="0" fontId="0" fillId="0" borderId="20" xfId="0" applyBorder="1" applyAlignment="1"/>
    <xf numFmtId="0" fontId="0" fillId="0" borderId="47" xfId="0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1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2" fillId="4" borderId="23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2" fillId="4" borderId="48" xfId="0" applyFont="1" applyFill="1" applyBorder="1" applyAlignment="1">
      <alignment horizontal="left"/>
    </xf>
    <xf numFmtId="0" fontId="0" fillId="0" borderId="23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2" fillId="3" borderId="29" xfId="0" applyFont="1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2" fillId="3" borderId="23" xfId="0" applyFont="1" applyFill="1" applyBorder="1" applyAlignment="1"/>
    <xf numFmtId="0" fontId="0" fillId="0" borderId="39" xfId="0" applyBorder="1" applyAlignment="1"/>
    <xf numFmtId="0" fontId="2" fillId="4" borderId="40" xfId="0" applyFont="1" applyFill="1" applyBorder="1" applyAlignment="1"/>
    <xf numFmtId="0" fontId="0" fillId="0" borderId="41" xfId="0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2" fillId="3" borderId="29" xfId="0" applyFont="1" applyFill="1" applyBorder="1" applyAlignment="1"/>
    <xf numFmtId="0" fontId="0" fillId="0" borderId="30" xfId="0" applyBorder="1" applyAlignment="1"/>
    <xf numFmtId="0" fontId="0" fillId="0" borderId="2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2" borderId="0" xfId="0" applyFill="1" applyAlignment="1" applyProtection="1">
      <protection locked="0"/>
    </xf>
    <xf numFmtId="0" fontId="0" fillId="0" borderId="1" xfId="0" applyBorder="1" applyAlignment="1"/>
    <xf numFmtId="0" fontId="0" fillId="0" borderId="2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57" xfId="0" applyBorder="1" applyAlignment="1">
      <alignment vertical="center"/>
    </xf>
    <xf numFmtId="0" fontId="0" fillId="4" borderId="51" xfId="0" applyFill="1" applyBorder="1" applyAlignment="1">
      <alignment horizontal="left"/>
    </xf>
    <xf numFmtId="0" fontId="0" fillId="3" borderId="51" xfId="0" applyFill="1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4" borderId="51" xfId="0" applyFill="1" applyBorder="1" applyAlignment="1" applyProtection="1">
      <protection locked="0"/>
    </xf>
    <xf numFmtId="0" fontId="0" fillId="0" borderId="51" xfId="0" applyBorder="1" applyAlignment="1">
      <alignment horizontal="left"/>
    </xf>
    <xf numFmtId="0" fontId="0" fillId="3" borderId="51" xfId="0" applyFill="1" applyBorder="1" applyAlignment="1"/>
    <xf numFmtId="0" fontId="0" fillId="0" borderId="51" xfId="0" applyBorder="1" applyAlignment="1"/>
    <xf numFmtId="0" fontId="0" fillId="4" borderId="51" xfId="0" applyFill="1" applyBorder="1" applyAlignment="1"/>
    <xf numFmtId="0" fontId="0" fillId="0" borderId="58" xfId="0" applyBorder="1" applyAlignment="1"/>
    <xf numFmtId="0" fontId="0" fillId="0" borderId="11" xfId="0" applyBorder="1" applyAlignment="1">
      <alignment vertical="center"/>
    </xf>
    <xf numFmtId="0" fontId="0" fillId="2" borderId="0" xfId="0" applyFill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</cellXfs>
  <cellStyles count="2">
    <cellStyle name="Normal" xfId="0" builtinId="0"/>
    <cellStyle name="Percent" xfId="1" builtinId="5"/>
  </cellStyles>
  <dxfs count="1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Statewide!$C$56:$G$56</c:f>
              <c:numCache>
                <c:formatCode>#,##0</c:formatCode>
                <c:ptCount val="5"/>
                <c:pt idx="0">
                  <c:v>467562114.04223609</c:v>
                </c:pt>
                <c:pt idx="1">
                  <c:v>498325459.14032322</c:v>
                </c:pt>
                <c:pt idx="2">
                  <c:v>558937096.45537984</c:v>
                </c:pt>
                <c:pt idx="3">
                  <c:v>456012526.89739996</c:v>
                </c:pt>
                <c:pt idx="4">
                  <c:v>472163623.16994154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5-45E4-A1DD-A088F3FA61E1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Statewide!$C$57:$G$57</c:f>
              <c:numCache>
                <c:formatCode>#,##0</c:formatCode>
                <c:ptCount val="5"/>
                <c:pt idx="0">
                  <c:v>477013334.84099197</c:v>
                </c:pt>
                <c:pt idx="1">
                  <c:v>502175313.9666391</c:v>
                </c:pt>
                <c:pt idx="2">
                  <c:v>563758207.2956295</c:v>
                </c:pt>
                <c:pt idx="3">
                  <c:v>462088640.74382973</c:v>
                </c:pt>
                <c:pt idx="4">
                  <c:v>482714742.99161637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5-45E4-A1DD-A088F3FA61E1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Statewide!$C$58:$G$58</c:f>
              <c:numCache>
                <c:formatCode>#,##0</c:formatCode>
                <c:ptCount val="5"/>
                <c:pt idx="0">
                  <c:v>117273430.03461018</c:v>
                </c:pt>
                <c:pt idx="1">
                  <c:v>124356296.00037214</c:v>
                </c:pt>
                <c:pt idx="2">
                  <c:v>139533005.98511443</c:v>
                </c:pt>
                <c:pt idx="3">
                  <c:v>114056936.88208744</c:v>
                </c:pt>
                <c:pt idx="4">
                  <c:v>118530018.35927162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5-45E4-A1DD-A088F3FA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Pedestrian Exposure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Estimates'!$C$17:$G$17</c:f>
              <c:numCache>
                <c:formatCode>General</c:formatCode>
                <c:ptCount val="5"/>
                <c:pt idx="0">
                  <c:v>420195672.33472782</c:v>
                </c:pt>
                <c:pt idx="1">
                  <c:v>458213545.79582208</c:v>
                </c:pt>
                <c:pt idx="2">
                  <c:v>513110750.02194428</c:v>
                </c:pt>
                <c:pt idx="3">
                  <c:v>415051771.04174006</c:v>
                </c:pt>
                <c:pt idx="4">
                  <c:v>422650635.73905206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1-4AB8-A595-A9964CA807A4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Estimates'!$C$21:$G$21</c:f>
              <c:numCache>
                <c:formatCode>General</c:formatCode>
                <c:ptCount val="5"/>
                <c:pt idx="0">
                  <c:v>403152026.79041111</c:v>
                </c:pt>
                <c:pt idx="1">
                  <c:v>439627849.24460351</c:v>
                </c:pt>
                <c:pt idx="2">
                  <c:v>492298356.35838932</c:v>
                </c:pt>
                <c:pt idx="3">
                  <c:v>398216768.36579353</c:v>
                </c:pt>
                <c:pt idx="4">
                  <c:v>405507413.90482479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1-4AB8-A595-A9964CA807A4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Estimates'!$C$25:$G$25</c:f>
              <c:numCache>
                <c:formatCode>General</c:formatCode>
                <c:ptCount val="5"/>
                <c:pt idx="0">
                  <c:v>102794842.47432053</c:v>
                </c:pt>
                <c:pt idx="1">
                  <c:v>112095369.75468883</c:v>
                </c:pt>
                <c:pt idx="2">
                  <c:v>125525183.13032374</c:v>
                </c:pt>
                <c:pt idx="3">
                  <c:v>101536460.82517561</c:v>
                </c:pt>
                <c:pt idx="4">
                  <c:v>103395414.04857202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1-4AB8-A595-A9964CA80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Bicyclist</a:t>
            </a:r>
            <a:r>
              <a:rPr lang="en-US" baseline="0"/>
              <a:t> Exposure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Estimates'!$C$41:$G$41</c:f>
              <c:numCache>
                <c:formatCode>General</c:formatCode>
                <c:ptCount val="5"/>
                <c:pt idx="0">
                  <c:v>47363487.42570252</c:v>
                </c:pt>
                <c:pt idx="1">
                  <c:v>40106941.189535491</c:v>
                </c:pt>
                <c:pt idx="2">
                  <c:v>45823784.979756042</c:v>
                </c:pt>
                <c:pt idx="3">
                  <c:v>40957121.393891044</c:v>
                </c:pt>
                <c:pt idx="4">
                  <c:v>49508058.334519409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F-4B1D-8B36-7B69592990CE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Estimates'!$C$45:$G$45</c:f>
              <c:numCache>
                <c:formatCode>General</c:formatCode>
                <c:ptCount val="5"/>
                <c:pt idx="0">
                  <c:v>73856012.063413501</c:v>
                </c:pt>
                <c:pt idx="1">
                  <c:v>62540553.775047801</c:v>
                </c:pt>
                <c:pt idx="2">
                  <c:v>71455084.923065707</c:v>
                </c:pt>
                <c:pt idx="3">
                  <c:v>63866277.931814276</c:v>
                </c:pt>
                <c:pt idx="4">
                  <c:v>77200137.750122815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F-4B1D-8B36-7B69592990CE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Estimates'!$C$49:$G$49</c:f>
              <c:numCache>
                <c:formatCode>General</c:formatCode>
                <c:ptCount val="5"/>
                <c:pt idx="0">
                  <c:v>14477636.091830093</c:v>
                </c:pt>
                <c:pt idx="1">
                  <c:v>12259521.645431569</c:v>
                </c:pt>
                <c:pt idx="2">
                  <c:v>14006993.980919629</c:v>
                </c:pt>
                <c:pt idx="3">
                  <c:v>12519396.926584493</c:v>
                </c:pt>
                <c:pt idx="4">
                  <c:v>15133168.84244692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F-4B1D-8B36-7B6959299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Estimates'!$C$26:$G$26</c:f>
              <c:numCache>
                <c:formatCode>General</c:formatCode>
                <c:ptCount val="5"/>
                <c:pt idx="0">
                  <c:v>97</c:v>
                </c:pt>
                <c:pt idx="1">
                  <c:v>105</c:v>
                </c:pt>
                <c:pt idx="2">
                  <c:v>106</c:v>
                </c:pt>
                <c:pt idx="3">
                  <c:v>127</c:v>
                </c:pt>
                <c:pt idx="4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3-4E31-A2B4-D4164113462E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Estimates'!$C$50:$G$50</c:f>
              <c:numCache>
                <c:formatCode>General</c:formatCode>
                <c:ptCount val="5"/>
                <c:pt idx="0">
                  <c:v>14</c:v>
                </c:pt>
                <c:pt idx="1">
                  <c:v>13</c:v>
                </c:pt>
                <c:pt idx="2">
                  <c:v>34</c:v>
                </c:pt>
                <c:pt idx="3">
                  <c:v>22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3-4E31-A2B4-D4164113462E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Estimates'!$C$59:$G$59</c:f>
              <c:numCache>
                <c:formatCode>General</c:formatCode>
                <c:ptCount val="5"/>
                <c:pt idx="0">
                  <c:v>111</c:v>
                </c:pt>
                <c:pt idx="1">
                  <c:v>118</c:v>
                </c:pt>
                <c:pt idx="2">
                  <c:v>140</c:v>
                </c:pt>
                <c:pt idx="3">
                  <c:v>149</c:v>
                </c:pt>
                <c:pt idx="4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43-4E31-A2B4-D4164113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Estimates'!$C$27:$G$27</c:f>
              <c:numCache>
                <c:formatCode>General</c:formatCode>
                <c:ptCount val="5"/>
                <c:pt idx="0">
                  <c:v>0.94362710876503209</c:v>
                </c:pt>
                <c:pt idx="1">
                  <c:v>0.93670238324547705</c:v>
                </c:pt>
                <c:pt idx="2">
                  <c:v>0.84445206417223739</c:v>
                </c:pt>
                <c:pt idx="3">
                  <c:v>1.2507822211635606</c:v>
                </c:pt>
                <c:pt idx="4">
                  <c:v>1.1122350160131522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9-4621-ADE0-1B04F576124A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Estimates'!$C$51:$G$51</c:f>
              <c:numCache>
                <c:formatCode>General</c:formatCode>
                <c:ptCount val="5"/>
                <c:pt idx="0">
                  <c:v>0.96700869611582307</c:v>
                </c:pt>
                <c:pt idx="1">
                  <c:v>1.060400264870397</c:v>
                </c:pt>
                <c:pt idx="2">
                  <c:v>2.4273587927798714</c:v>
                </c:pt>
                <c:pt idx="3">
                  <c:v>1.7572731441467269</c:v>
                </c:pt>
                <c:pt idx="4">
                  <c:v>1.5198403083620835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9-4621-ADE0-1B04F576124A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Estimates'!$C$60:$G$60</c:f>
              <c:numCache>
                <c:formatCode>General</c:formatCode>
                <c:ptCount val="5"/>
                <c:pt idx="0">
                  <c:v>0.94651363522932219</c:v>
                </c:pt>
                <c:pt idx="1">
                  <c:v>0.94889713361034511</c:v>
                </c:pt>
                <c:pt idx="2">
                  <c:v>1.0033527957381734</c:v>
                </c:pt>
                <c:pt idx="3">
                  <c:v>1.3063774446753535</c:v>
                </c:pt>
                <c:pt idx="4">
                  <c:v>1.1642761318329777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C9-4621-ADE0-1B04F5761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Estimates'!$C$17:$G$17</c:f>
              <c:numCache>
                <c:formatCode>General</c:formatCode>
                <c:ptCount val="5"/>
                <c:pt idx="0">
                  <c:v>420195672.33472782</c:v>
                </c:pt>
                <c:pt idx="1">
                  <c:v>458213545.79582208</c:v>
                </c:pt>
                <c:pt idx="2">
                  <c:v>513110750.02194428</c:v>
                </c:pt>
                <c:pt idx="3">
                  <c:v>415051771.04174006</c:v>
                </c:pt>
                <c:pt idx="4">
                  <c:v>422650635.73905206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7-45FE-8459-04CE56B99218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Estimates'!$C$41:$G$41</c:f>
              <c:numCache>
                <c:formatCode>General</c:formatCode>
                <c:ptCount val="5"/>
                <c:pt idx="0">
                  <c:v>47363487.42570252</c:v>
                </c:pt>
                <c:pt idx="1">
                  <c:v>40106941.189535491</c:v>
                </c:pt>
                <c:pt idx="2">
                  <c:v>45823784.979756042</c:v>
                </c:pt>
                <c:pt idx="3">
                  <c:v>40957121.393891044</c:v>
                </c:pt>
                <c:pt idx="4">
                  <c:v>49508058.334519409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7-45FE-8459-04CE56B99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Estimates'!$C$21:$G$21</c:f>
              <c:numCache>
                <c:formatCode>General</c:formatCode>
                <c:ptCount val="5"/>
                <c:pt idx="0">
                  <c:v>403152026.79041111</c:v>
                </c:pt>
                <c:pt idx="1">
                  <c:v>439627849.24460351</c:v>
                </c:pt>
                <c:pt idx="2">
                  <c:v>492298356.35838932</c:v>
                </c:pt>
                <c:pt idx="3">
                  <c:v>398216768.36579353</c:v>
                </c:pt>
                <c:pt idx="4">
                  <c:v>405507413.90482479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D-4B7A-8460-D355B0405F60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Estimates'!$C$45:$G$45</c:f>
              <c:numCache>
                <c:formatCode>General</c:formatCode>
                <c:ptCount val="5"/>
                <c:pt idx="0">
                  <c:v>73856012.063413501</c:v>
                </c:pt>
                <c:pt idx="1">
                  <c:v>62540553.775047801</c:v>
                </c:pt>
                <c:pt idx="2">
                  <c:v>71455084.923065707</c:v>
                </c:pt>
                <c:pt idx="3">
                  <c:v>63866277.931814276</c:v>
                </c:pt>
                <c:pt idx="4">
                  <c:v>77200137.750122815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D-4B7A-8460-D355B0405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Estimates'!$C$25:$G$25</c:f>
              <c:numCache>
                <c:formatCode>General</c:formatCode>
                <c:ptCount val="5"/>
                <c:pt idx="0">
                  <c:v>102794842.47432053</c:v>
                </c:pt>
                <c:pt idx="1">
                  <c:v>112095369.75468883</c:v>
                </c:pt>
                <c:pt idx="2">
                  <c:v>125525183.13032374</c:v>
                </c:pt>
                <c:pt idx="3">
                  <c:v>101536460.82517561</c:v>
                </c:pt>
                <c:pt idx="4">
                  <c:v>103395414.04857202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5-46DF-BC31-FE7E41301A6F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Estimates'!$C$49:$G$49</c:f>
              <c:numCache>
                <c:formatCode>General</c:formatCode>
                <c:ptCount val="5"/>
                <c:pt idx="0">
                  <c:v>14477636.091830093</c:v>
                </c:pt>
                <c:pt idx="1">
                  <c:v>12259521.645431569</c:v>
                </c:pt>
                <c:pt idx="2">
                  <c:v>14006993.980919629</c:v>
                </c:pt>
                <c:pt idx="3">
                  <c:v>12519396.926584493</c:v>
                </c:pt>
                <c:pt idx="4">
                  <c:v>15133168.84244692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5-46DF-BC31-FE7E4130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Annual Non-Motorized Trips - Louisiana MPOs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MSAs!$A$27</c:f>
              <c:strCache>
                <c:ptCount val="1"/>
                <c:pt idx="0">
                  <c:v>Alexandria-Pineville MPO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MSAs!$B$26:$F$26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MSAs!$B$27:$F$27</c:f>
              <c:numCache>
                <c:formatCode>0</c:formatCode>
                <c:ptCount val="5"/>
                <c:pt idx="0">
                  <c:v>16638054.825240601</c:v>
                </c:pt>
                <c:pt idx="1">
                  <c:v>16010453.746815816</c:v>
                </c:pt>
                <c:pt idx="2">
                  <c:v>17414308.200744253</c:v>
                </c:pt>
                <c:pt idx="3">
                  <c:v>19079551.131054007</c:v>
                </c:pt>
                <c:pt idx="4">
                  <c:v>16210819.226858638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4-4529-ACFE-095A46EAECA9}"/>
            </c:ext>
          </c:extLst>
        </c:ser>
        <c:ser>
          <c:idx val="1"/>
          <c:order val="1"/>
          <c:tx>
            <c:strRef>
              <c:f>MSAs!$A$28</c:f>
              <c:strCache>
                <c:ptCount val="1"/>
                <c:pt idx="0">
                  <c:v>Capital Regional Planning Commission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MSAs!$B$26:$F$26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MSAs!$B$28:$F$28</c:f>
              <c:numCache>
                <c:formatCode>0</c:formatCode>
                <c:ptCount val="5"/>
                <c:pt idx="0">
                  <c:v>106533407.78984536</c:v>
                </c:pt>
                <c:pt idx="1">
                  <c:v>103655150.82211773</c:v>
                </c:pt>
                <c:pt idx="2">
                  <c:v>108110965.6000127</c:v>
                </c:pt>
                <c:pt idx="3">
                  <c:v>95278340.38614586</c:v>
                </c:pt>
                <c:pt idx="4">
                  <c:v>85910744.940077871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4-4529-ACFE-095A46EAECA9}"/>
            </c:ext>
          </c:extLst>
        </c:ser>
        <c:ser>
          <c:idx val="2"/>
          <c:order val="2"/>
          <c:tx>
            <c:strRef>
              <c:f>MSAs!$A$29</c:f>
              <c:strCache>
                <c:ptCount val="1"/>
                <c:pt idx="0">
                  <c:v>Houma-Thibodaux MPO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MSAs!$B$26:$F$26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MSAs!$B$29:$F$29</c:f>
              <c:numCache>
                <c:formatCode>0</c:formatCode>
                <c:ptCount val="5"/>
                <c:pt idx="0">
                  <c:v>12801119.168540232</c:v>
                </c:pt>
                <c:pt idx="1">
                  <c:v>13254454.347273082</c:v>
                </c:pt>
                <c:pt idx="2">
                  <c:v>12759282.138245275</c:v>
                </c:pt>
                <c:pt idx="3">
                  <c:v>12256279.862629691</c:v>
                </c:pt>
                <c:pt idx="4">
                  <c:v>14647883.50435235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4-4529-ACFE-095A46EAECA9}"/>
            </c:ext>
          </c:extLst>
        </c:ser>
        <c:ser>
          <c:idx val="3"/>
          <c:order val="3"/>
          <c:tx>
            <c:strRef>
              <c:f>MSAs!$A$30</c:f>
              <c:strCache>
                <c:ptCount val="1"/>
                <c:pt idx="0">
                  <c:v>Imperial Calcasieu Regional Planning &amp; Development Commission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MSAs!$B$26:$F$26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MSAs!$B$30:$F$30</c:f>
              <c:numCache>
                <c:formatCode>0</c:formatCode>
                <c:ptCount val="5"/>
                <c:pt idx="0">
                  <c:v>23465583.017019391</c:v>
                </c:pt>
                <c:pt idx="1">
                  <c:v>20683009.420563586</c:v>
                </c:pt>
                <c:pt idx="2">
                  <c:v>25048181.440258037</c:v>
                </c:pt>
                <c:pt idx="3">
                  <c:v>24969895.679984886</c:v>
                </c:pt>
                <c:pt idx="4">
                  <c:v>27150942.433774501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14-4529-ACFE-095A46EAECA9}"/>
            </c:ext>
          </c:extLst>
        </c:ser>
        <c:ser>
          <c:idx val="4"/>
          <c:order val="4"/>
          <c:tx>
            <c:strRef>
              <c:f>MSAs!$A$31</c:f>
              <c:strCache>
                <c:ptCount val="1"/>
                <c:pt idx="0">
                  <c:v>Lafayette Area MPO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MSAs!$B$26:$F$26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MSAs!$B$31:$F$31</c:f>
              <c:numCache>
                <c:formatCode>0</c:formatCode>
                <c:ptCount val="5"/>
                <c:pt idx="0">
                  <c:v>38621244.717696734</c:v>
                </c:pt>
                <c:pt idx="1">
                  <c:v>37245490.646519415</c:v>
                </c:pt>
                <c:pt idx="2">
                  <c:v>45525674.22352685</c:v>
                </c:pt>
                <c:pt idx="3">
                  <c:v>48896670.820260063</c:v>
                </c:pt>
                <c:pt idx="4">
                  <c:v>48267575.685696267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14-4529-ACFE-095A46EAECA9}"/>
            </c:ext>
          </c:extLst>
        </c:ser>
        <c:ser>
          <c:idx val="5"/>
          <c:order val="5"/>
          <c:tx>
            <c:strRef>
              <c:f>MSAs!$A$32</c:f>
              <c:strCache>
                <c:ptCount val="1"/>
                <c:pt idx="0">
                  <c:v>Northwest Louisiana COG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MSAs!$B$26:$F$26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MSAs!$B$32:$F$32</c:f>
              <c:numCache>
                <c:formatCode>0</c:formatCode>
                <c:ptCount val="5"/>
                <c:pt idx="0">
                  <c:v>64893106.822375752</c:v>
                </c:pt>
                <c:pt idx="1">
                  <c:v>67332162.56623815</c:v>
                </c:pt>
                <c:pt idx="2">
                  <c:v>53030708.626087122</c:v>
                </c:pt>
                <c:pt idx="3">
                  <c:v>52926315.682698362</c:v>
                </c:pt>
                <c:pt idx="4">
                  <c:v>50825266.194834083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14-4529-ACFE-095A46EAECA9}"/>
            </c:ext>
          </c:extLst>
        </c:ser>
        <c:ser>
          <c:idx val="6"/>
          <c:order val="6"/>
          <c:tx>
            <c:strRef>
              <c:f>MSAs!$A$33</c:f>
              <c:strCache>
                <c:ptCount val="1"/>
                <c:pt idx="0">
                  <c:v>Ouachata Council of Governments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MSAs!$B$26:$F$26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MSAs!$B$33:$F$33</c:f>
              <c:numCache>
                <c:formatCode>0</c:formatCode>
                <c:ptCount val="5"/>
                <c:pt idx="0">
                  <c:v>14410118.872075656</c:v>
                </c:pt>
                <c:pt idx="1">
                  <c:v>12699014.483629331</c:v>
                </c:pt>
                <c:pt idx="2">
                  <c:v>11440449.852917392</c:v>
                </c:pt>
                <c:pt idx="3">
                  <c:v>12089581.538925385</c:v>
                </c:pt>
                <c:pt idx="4">
                  <c:v>13166233.794287158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14-4529-ACFE-095A46EAECA9}"/>
            </c:ext>
          </c:extLst>
        </c:ser>
        <c:ser>
          <c:idx val="7"/>
          <c:order val="7"/>
          <c:tx>
            <c:strRef>
              <c:f>MSAs!$A$34</c:f>
              <c:strCache>
                <c:ptCount val="1"/>
                <c:pt idx="0">
                  <c:v>Regional Planning Commission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MSAs!$B$26:$F$26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MSAs!$B$34:$F$34</c:f>
              <c:numCache>
                <c:formatCode>0</c:formatCode>
                <c:ptCount val="5"/>
                <c:pt idx="0">
                  <c:v>201855979.03426793</c:v>
                </c:pt>
                <c:pt idx="1">
                  <c:v>209249563.93995595</c:v>
                </c:pt>
                <c:pt idx="2">
                  <c:v>214916907.82069296</c:v>
                </c:pt>
                <c:pt idx="3">
                  <c:v>211708983.88050804</c:v>
                </c:pt>
                <c:pt idx="4">
                  <c:v>220027559.44483393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14-4529-ACFE-095A46EAECA9}"/>
            </c:ext>
          </c:extLst>
        </c:ser>
        <c:ser>
          <c:idx val="8"/>
          <c:order val="8"/>
          <c:tx>
            <c:strRef>
              <c:f>MSAs!$A$35</c:f>
              <c:strCache>
                <c:ptCount val="1"/>
                <c:pt idx="0">
                  <c:v>South Tangipahoa MPO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MSAs!$B$26:$F$26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MSAs!$B$35:$F$35</c:f>
              <c:numCache>
                <c:formatCode>0</c:formatCode>
                <c:ptCount val="5"/>
                <c:pt idx="0">
                  <c:v>11846264.162743254</c:v>
                </c:pt>
                <c:pt idx="1">
                  <c:v>12580117.149156962</c:v>
                </c:pt>
                <c:pt idx="2">
                  <c:v>14199557.924243143</c:v>
                </c:pt>
                <c:pt idx="3">
                  <c:v>13030169.22714649</c:v>
                </c:pt>
                <c:pt idx="4">
                  <c:v>14406838.204831738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14-4529-ACFE-095A46EAE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5511007"/>
        <c:axId val="1766863199"/>
      </c:lineChart>
      <c:catAx>
        <c:axId val="177551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863199"/>
        <c:crosses val="autoZero"/>
        <c:auto val="1"/>
        <c:lblAlgn val="ctr"/>
        <c:lblOffset val="100"/>
        <c:noMultiLvlLbl val="0"/>
      </c:catAx>
      <c:valAx>
        <c:axId val="176686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51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Pedestrian Fatalities per Estimated Million Hours of Travel - Louisiana MSAs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MSAs!$B$38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MSAs!$A$39:$A$47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MSAs!$B$39:$B$47</c:f>
              <c:numCache>
                <c:formatCode>0.00</c:formatCode>
                <c:ptCount val="9"/>
                <c:pt idx="0">
                  <c:v>0.62739235734602083</c:v>
                </c:pt>
                <c:pt idx="1">
                  <c:v>0.52049471318631046</c:v>
                </c:pt>
                <c:pt idx="2">
                  <c:v>0.9672908263179566</c:v>
                </c:pt>
                <c:pt idx="3">
                  <c:v>0.15300060309287469</c:v>
                </c:pt>
                <c:pt idx="4" formatCode="0.000">
                  <c:v>0.64995629287733736</c:v>
                </c:pt>
                <c:pt idx="5" formatCode="0.000">
                  <c:v>0.28347858582995178</c:v>
                </c:pt>
                <c:pt idx="6">
                  <c:v>0.80127329105244627</c:v>
                </c:pt>
                <c:pt idx="7">
                  <c:v>0.4617553340572077</c:v>
                </c:pt>
                <c:pt idx="8">
                  <c:v>0.89872194614572121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E85-4814-903A-4B71A290AAD3}"/>
            </c:ext>
          </c:extLst>
        </c:ser>
        <c:ser>
          <c:idx val="6"/>
          <c:order val="1"/>
          <c:tx>
            <c:strRef>
              <c:f>MSAs!$C$38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MSAs!$A$39:$A$47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MSAs!$C$39:$C$47</c:f>
              <c:numCache>
                <c:formatCode>0.00</c:formatCode>
                <c:ptCount val="9"/>
                <c:pt idx="0">
                  <c:v>0.22019559719184142</c:v>
                </c:pt>
                <c:pt idx="1">
                  <c:v>0.56704280280265662</c:v>
                </c:pt>
                <c:pt idx="2">
                  <c:v>0.8781746946511324</c:v>
                </c:pt>
                <c:pt idx="3">
                  <c:v>0.35521193731857104</c:v>
                </c:pt>
                <c:pt idx="4" formatCode="0.000">
                  <c:v>1.0689089194990631</c:v>
                </c:pt>
                <c:pt idx="5" formatCode="0.000">
                  <c:v>0.54753276504315462</c:v>
                </c:pt>
                <c:pt idx="6">
                  <c:v>1.2098958259925972</c:v>
                </c:pt>
                <c:pt idx="7">
                  <c:v>0.54416114210434929</c:v>
                </c:pt>
                <c:pt idx="8">
                  <c:v>0.8533893780169971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E85-4814-903A-4B71A290AAD3}"/>
            </c:ext>
          </c:extLst>
        </c:ser>
        <c:ser>
          <c:idx val="7"/>
          <c:order val="2"/>
          <c:tx>
            <c:strRef>
              <c:f>MSAs!$D$38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MSAs!$A$39:$A$47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MSAs!$D$39:$D$47</c:f>
              <c:numCache>
                <c:formatCode>0.00</c:formatCode>
                <c:ptCount val="9"/>
                <c:pt idx="0">
                  <c:v>0.8084411464939435</c:v>
                </c:pt>
                <c:pt idx="1">
                  <c:v>0.37349909511837154</c:v>
                </c:pt>
                <c:pt idx="2">
                  <c:v>0.60748105487360449</c:v>
                </c:pt>
                <c:pt idx="3">
                  <c:v>1.0364250037435074</c:v>
                </c:pt>
                <c:pt idx="4" formatCode="0.000">
                  <c:v>0.62793882391904865</c:v>
                </c:pt>
                <c:pt idx="5" formatCode="0.000">
                  <c:v>0.70429542657091959</c:v>
                </c:pt>
                <c:pt idx="6">
                  <c:v>1.0628665518248102</c:v>
                </c:pt>
                <c:pt idx="7">
                  <c:v>0.3512432852732153</c:v>
                </c:pt>
                <c:pt idx="8">
                  <c:v>1.2534384846362099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E85-4814-903A-4B71A290AAD3}"/>
            </c:ext>
          </c:extLst>
        </c:ser>
        <c:ser>
          <c:idx val="8"/>
          <c:order val="3"/>
          <c:tx>
            <c:strRef>
              <c:f>MSAs!$E$38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MSAs!$A$39:$A$47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MSAs!$E$39:$E$47</c:f>
              <c:numCache>
                <c:formatCode>0.00</c:formatCode>
                <c:ptCount val="9"/>
                <c:pt idx="0">
                  <c:v>1.0891072396050856</c:v>
                </c:pt>
                <c:pt idx="1">
                  <c:v>0.96894734941855365</c:v>
                </c:pt>
                <c:pt idx="2">
                  <c:v>1.6196516534822589</c:v>
                </c:pt>
                <c:pt idx="3">
                  <c:v>1.385156536496069</c:v>
                </c:pt>
                <c:pt idx="4" formatCode="0.000">
                  <c:v>0.73625177214517601</c:v>
                </c:pt>
                <c:pt idx="5" formatCode="0.000">
                  <c:v>0.83839165341121913</c:v>
                </c:pt>
                <c:pt idx="6">
                  <c:v>0.62641207911130037</c:v>
                </c:pt>
                <c:pt idx="7">
                  <c:v>0.45208088897864046</c:v>
                </c:pt>
                <c:pt idx="8">
                  <c:v>1.9339873443769309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E85-4814-903A-4B71A290AAD3}"/>
            </c:ext>
          </c:extLst>
        </c:ser>
        <c:ser>
          <c:idx val="9"/>
          <c:order val="4"/>
          <c:tx>
            <c:strRef>
              <c:f>MSAs!$F$38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MSAs!$A$39:$A$47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MSAs!$F$39:$F$47</c:f>
              <c:numCache>
                <c:formatCode>0.00</c:formatCode>
                <c:ptCount val="9"/>
                <c:pt idx="0">
                  <c:v>1.0734651364288343</c:v>
                </c:pt>
                <c:pt idx="1">
                  <c:v>0.78268652597969524</c:v>
                </c:pt>
                <c:pt idx="2">
                  <c:v>0.81645910834621238</c:v>
                </c:pt>
                <c:pt idx="3">
                  <c:v>0.98710301467315631</c:v>
                </c:pt>
                <c:pt idx="4" formatCode="0.000">
                  <c:v>0.44732441623559616</c:v>
                </c:pt>
                <c:pt idx="5" formatCode="0.000">
                  <c:v>0.68053419595874864</c:v>
                </c:pt>
                <c:pt idx="6">
                  <c:v>1.7541952728865633</c:v>
                </c:pt>
                <c:pt idx="7">
                  <c:v>0.47138394145782997</c:v>
                </c:pt>
                <c:pt idx="8">
                  <c:v>0.50653934194864281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E85-4814-903A-4B71A290AAD3}"/>
            </c:ext>
          </c:extLst>
        </c:ser>
        <c:ser>
          <c:idx val="0"/>
          <c:order val="5"/>
          <c:tx>
            <c:strRef>
              <c:f>MSAs!$B$38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MSAs!$A$39:$A$47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MSAs!$B$39:$B$47</c:f>
              <c:numCache>
                <c:formatCode>0.00</c:formatCode>
                <c:ptCount val="9"/>
                <c:pt idx="0">
                  <c:v>0.62739235734602083</c:v>
                </c:pt>
                <c:pt idx="1">
                  <c:v>0.52049471318631046</c:v>
                </c:pt>
                <c:pt idx="2">
                  <c:v>0.9672908263179566</c:v>
                </c:pt>
                <c:pt idx="3">
                  <c:v>0.15300060309287469</c:v>
                </c:pt>
                <c:pt idx="4" formatCode="0.000">
                  <c:v>0.64995629287733736</c:v>
                </c:pt>
                <c:pt idx="5" formatCode="0.000">
                  <c:v>0.28347858582995178</c:v>
                </c:pt>
                <c:pt idx="6">
                  <c:v>0.80127329105244627</c:v>
                </c:pt>
                <c:pt idx="7">
                  <c:v>0.4617553340572077</c:v>
                </c:pt>
                <c:pt idx="8">
                  <c:v>0.89872194614572121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85-4814-903A-4B71A290AAD3}"/>
            </c:ext>
          </c:extLst>
        </c:ser>
        <c:ser>
          <c:idx val="1"/>
          <c:order val="6"/>
          <c:tx>
            <c:strRef>
              <c:f>MSAs!$C$38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MSAs!$A$39:$A$47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MSAs!$C$39:$C$47</c:f>
              <c:numCache>
                <c:formatCode>0.00</c:formatCode>
                <c:ptCount val="9"/>
                <c:pt idx="0">
                  <c:v>0.22019559719184142</c:v>
                </c:pt>
                <c:pt idx="1">
                  <c:v>0.56704280280265662</c:v>
                </c:pt>
                <c:pt idx="2">
                  <c:v>0.8781746946511324</c:v>
                </c:pt>
                <c:pt idx="3">
                  <c:v>0.35521193731857104</c:v>
                </c:pt>
                <c:pt idx="4" formatCode="0.000">
                  <c:v>1.0689089194990631</c:v>
                </c:pt>
                <c:pt idx="5" formatCode="0.000">
                  <c:v>0.54753276504315462</c:v>
                </c:pt>
                <c:pt idx="6">
                  <c:v>1.2098958259925972</c:v>
                </c:pt>
                <c:pt idx="7">
                  <c:v>0.54416114210434929</c:v>
                </c:pt>
                <c:pt idx="8">
                  <c:v>0.8533893780169971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85-4814-903A-4B71A290AAD3}"/>
            </c:ext>
          </c:extLst>
        </c:ser>
        <c:ser>
          <c:idx val="2"/>
          <c:order val="7"/>
          <c:tx>
            <c:strRef>
              <c:f>MSAs!$D$38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MSAs!$A$39:$A$47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MSAs!$D$39:$D$47</c:f>
              <c:numCache>
                <c:formatCode>0.00</c:formatCode>
                <c:ptCount val="9"/>
                <c:pt idx="0">
                  <c:v>0.8084411464939435</c:v>
                </c:pt>
                <c:pt idx="1">
                  <c:v>0.37349909511837154</c:v>
                </c:pt>
                <c:pt idx="2">
                  <c:v>0.60748105487360449</c:v>
                </c:pt>
                <c:pt idx="3">
                  <c:v>1.0364250037435074</c:v>
                </c:pt>
                <c:pt idx="4" formatCode="0.000">
                  <c:v>0.62793882391904865</c:v>
                </c:pt>
                <c:pt idx="5" formatCode="0.000">
                  <c:v>0.70429542657091959</c:v>
                </c:pt>
                <c:pt idx="6">
                  <c:v>1.0628665518248102</c:v>
                </c:pt>
                <c:pt idx="7">
                  <c:v>0.3512432852732153</c:v>
                </c:pt>
                <c:pt idx="8">
                  <c:v>1.2534384846362099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E85-4814-903A-4B71A290AAD3}"/>
            </c:ext>
          </c:extLst>
        </c:ser>
        <c:ser>
          <c:idx val="3"/>
          <c:order val="8"/>
          <c:tx>
            <c:strRef>
              <c:f>MSAs!$E$38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MSAs!$A$39:$A$47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MSAs!$E$39:$E$47</c:f>
              <c:numCache>
                <c:formatCode>0.00</c:formatCode>
                <c:ptCount val="9"/>
                <c:pt idx="0">
                  <c:v>1.0891072396050856</c:v>
                </c:pt>
                <c:pt idx="1">
                  <c:v>0.96894734941855365</c:v>
                </c:pt>
                <c:pt idx="2">
                  <c:v>1.6196516534822589</c:v>
                </c:pt>
                <c:pt idx="3">
                  <c:v>1.385156536496069</c:v>
                </c:pt>
                <c:pt idx="4" formatCode="0.000">
                  <c:v>0.73625177214517601</c:v>
                </c:pt>
                <c:pt idx="5" formatCode="0.000">
                  <c:v>0.83839165341121913</c:v>
                </c:pt>
                <c:pt idx="6">
                  <c:v>0.62641207911130037</c:v>
                </c:pt>
                <c:pt idx="7">
                  <c:v>0.45208088897864046</c:v>
                </c:pt>
                <c:pt idx="8">
                  <c:v>1.9339873443769309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E85-4814-903A-4B71A290AAD3}"/>
            </c:ext>
          </c:extLst>
        </c:ser>
        <c:ser>
          <c:idx val="4"/>
          <c:order val="9"/>
          <c:tx>
            <c:strRef>
              <c:f>MSAs!$F$38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MSAs!$A$39:$A$47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MSAs!$F$39:$F$47</c:f>
              <c:numCache>
                <c:formatCode>0.00</c:formatCode>
                <c:ptCount val="9"/>
                <c:pt idx="0">
                  <c:v>1.0734651364288343</c:v>
                </c:pt>
                <c:pt idx="1">
                  <c:v>0.78268652597969524</c:v>
                </c:pt>
                <c:pt idx="2">
                  <c:v>0.81645910834621238</c:v>
                </c:pt>
                <c:pt idx="3">
                  <c:v>0.98710301467315631</c:v>
                </c:pt>
                <c:pt idx="4" formatCode="0.000">
                  <c:v>0.44732441623559616</c:v>
                </c:pt>
                <c:pt idx="5" formatCode="0.000">
                  <c:v>0.68053419595874864</c:v>
                </c:pt>
                <c:pt idx="6">
                  <c:v>1.7541952728865633</c:v>
                </c:pt>
                <c:pt idx="7">
                  <c:v>0.47138394145782997</c:v>
                </c:pt>
                <c:pt idx="8">
                  <c:v>0.50653934194864281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E85-4814-903A-4B71A290A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348815"/>
        <c:axId val="1848622031"/>
      </c:barChart>
      <c:catAx>
        <c:axId val="184834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8622031"/>
        <c:crosses val="autoZero"/>
        <c:auto val="1"/>
        <c:lblAlgn val="ctr"/>
        <c:lblOffset val="100"/>
        <c:noMultiLvlLbl val="0"/>
      </c:catAx>
      <c:valAx>
        <c:axId val="184862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8348815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Bicyclist</a:t>
            </a:r>
            <a:r>
              <a:rPr lang="en-US" baseline="0"/>
              <a:t> </a:t>
            </a:r>
            <a:r>
              <a:rPr lang="en-US"/>
              <a:t>Fatalities per Estimated Million Hours of Travel - Louisiana MSAs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MSAs!$B$38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MSAs!$A$51:$A$59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MSAs!$B$51:$B$59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1.4128801579555346</c:v>
                </c:pt>
                <c:pt idx="3">
                  <c:v>0</c:v>
                </c:pt>
                <c:pt idx="4">
                  <c:v>0</c:v>
                </c:pt>
                <c:pt idx="5">
                  <c:v>1.4977583761267468</c:v>
                </c:pt>
                <c:pt idx="6">
                  <c:v>2.0787033063845262</c:v>
                </c:pt>
                <c:pt idx="7">
                  <c:v>0.92348362833135911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0-4780-A4F3-CC1B5819800E}"/>
            </c:ext>
          </c:extLst>
        </c:ser>
        <c:ser>
          <c:idx val="1"/>
          <c:order val="1"/>
          <c:tx>
            <c:strRef>
              <c:f>MSAs!$C$38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MSAs!$A$51:$A$59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MSAs!$C$51:$C$59</c:f>
              <c:numCache>
                <c:formatCode>0.00</c:formatCode>
                <c:ptCount val="9"/>
                <c:pt idx="0">
                  <c:v>0</c:v>
                </c:pt>
                <c:pt idx="1">
                  <c:v>0.44886451310615455</c:v>
                </c:pt>
                <c:pt idx="2">
                  <c:v>2.1472492854606919</c:v>
                </c:pt>
                <c:pt idx="3">
                  <c:v>0</c:v>
                </c:pt>
                <c:pt idx="4">
                  <c:v>3.7540508416738136</c:v>
                </c:pt>
                <c:pt idx="5">
                  <c:v>0.69685565934802585</c:v>
                </c:pt>
                <c:pt idx="6">
                  <c:v>0</c:v>
                </c:pt>
                <c:pt idx="7">
                  <c:v>0.34642940789449267</c:v>
                </c:pt>
                <c:pt idx="8">
                  <c:v>2.488300245031374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0-4780-A4F3-CC1B5819800E}"/>
            </c:ext>
          </c:extLst>
        </c:ser>
        <c:ser>
          <c:idx val="2"/>
          <c:order val="2"/>
          <c:tx>
            <c:strRef>
              <c:f>MSAs!$D$38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MSAs!$A$51:$A$59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MSAs!$D$51:$D$59</c:f>
              <c:numCache>
                <c:formatCode>0.00</c:formatCode>
                <c:ptCount val="9"/>
                <c:pt idx="0">
                  <c:v>0</c:v>
                </c:pt>
                <c:pt idx="1">
                  <c:v>2.6170862746984511</c:v>
                </c:pt>
                <c:pt idx="2">
                  <c:v>6.7651584433133234</c:v>
                </c:pt>
                <c:pt idx="3">
                  <c:v>3.5056346720499572</c:v>
                </c:pt>
                <c:pt idx="4">
                  <c:v>3.4915187757392769</c:v>
                </c:pt>
                <c:pt idx="5">
                  <c:v>0.72592765879861398</c:v>
                </c:pt>
                <c:pt idx="6">
                  <c:v>3.4295666538145095</c:v>
                </c:pt>
                <c:pt idx="7">
                  <c:v>0.920824479239574</c:v>
                </c:pt>
                <c:pt idx="8">
                  <c:v>2.3364077041083586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0-4780-A4F3-CC1B5819800E}"/>
            </c:ext>
          </c:extLst>
        </c:ser>
        <c:ser>
          <c:idx val="3"/>
          <c:order val="3"/>
          <c:tx>
            <c:strRef>
              <c:f>MSAs!$E$38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MSAs!$A$51:$A$59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MSAs!$E$51:$E$59</c:f>
              <c:numCache>
                <c:formatCode>0.00</c:formatCode>
                <c:ptCount val="9"/>
                <c:pt idx="0">
                  <c:v>0</c:v>
                </c:pt>
                <c:pt idx="1">
                  <c:v>1.7851898247044125</c:v>
                </c:pt>
                <c:pt idx="2">
                  <c:v>0</c:v>
                </c:pt>
                <c:pt idx="3">
                  <c:v>1.1456248951078956</c:v>
                </c:pt>
                <c:pt idx="4">
                  <c:v>1.2042042830613506</c:v>
                </c:pt>
                <c:pt idx="5">
                  <c:v>0</c:v>
                </c:pt>
                <c:pt idx="6">
                  <c:v>2.9918623219350842</c:v>
                </c:pt>
                <c:pt idx="7">
                  <c:v>0.70712368981819806</c:v>
                </c:pt>
                <c:pt idx="8">
                  <c:v>4.5188653656567093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0-4780-A4F3-CC1B5819800E}"/>
            </c:ext>
          </c:extLst>
        </c:ser>
        <c:ser>
          <c:idx val="4"/>
          <c:order val="4"/>
          <c:tx>
            <c:strRef>
              <c:f>MSAs!$F$38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MSAs!$A$51:$A$59</c:f>
              <c:strCache>
                <c:ptCount val="9"/>
                <c:pt idx="0">
                  <c:v>Alexandria-Pineville MPO</c:v>
                </c:pt>
                <c:pt idx="1">
                  <c:v>Capital Regional Planning Commission</c:v>
                </c:pt>
                <c:pt idx="2">
                  <c:v>Houma-Thibodaux MPO</c:v>
                </c:pt>
                <c:pt idx="3">
                  <c:v>Imperial Calcasieu Regional Planning &amp; Development Commission</c:v>
                </c:pt>
                <c:pt idx="4">
                  <c:v>Lafayette Area MPO</c:v>
                </c:pt>
                <c:pt idx="5">
                  <c:v>Northwest Louisiana COG</c:v>
                </c:pt>
                <c:pt idx="6">
                  <c:v>Ouachata Council of Governments</c:v>
                </c:pt>
                <c:pt idx="7">
                  <c:v>Regional Planning Commission</c:v>
                </c:pt>
                <c:pt idx="8">
                  <c:v>South Tangipahoa MPO</c:v>
                </c:pt>
              </c:strCache>
            </c:strRef>
          </c:cat>
          <c:val>
            <c:numRef>
              <c:f>MSAs!$F$51:$F$59</c:f>
              <c:numCache>
                <c:formatCode>0.00</c:formatCode>
                <c:ptCount val="9"/>
                <c:pt idx="0">
                  <c:v>0</c:v>
                </c:pt>
                <c:pt idx="1">
                  <c:v>1.6658054478108346</c:v>
                </c:pt>
                <c:pt idx="2">
                  <c:v>1.5474279003890523</c:v>
                </c:pt>
                <c:pt idx="3">
                  <c:v>1.0929693833353817</c:v>
                </c:pt>
                <c:pt idx="4">
                  <c:v>1.2249065796096328</c:v>
                </c:pt>
                <c:pt idx="5">
                  <c:v>0</c:v>
                </c:pt>
                <c:pt idx="6">
                  <c:v>2.2717412302464561</c:v>
                </c:pt>
                <c:pt idx="7">
                  <c:v>0.6788492329792899</c:v>
                </c:pt>
                <c:pt idx="8">
                  <c:v>1.8040641196797784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D0-4780-A4F3-CC1B5819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348815"/>
        <c:axId val="1848622031"/>
      </c:barChart>
      <c:catAx>
        <c:axId val="184834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8622031"/>
        <c:crosses val="autoZero"/>
        <c:auto val="1"/>
        <c:lblAlgn val="ctr"/>
        <c:lblOffset val="100"/>
        <c:noMultiLvlLbl val="0"/>
      </c:catAx>
      <c:valAx>
        <c:axId val="184862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834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Walking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Statewide!$C$17:$G$17</c:f>
              <c:numCache>
                <c:formatCode>#,##0</c:formatCode>
                <c:ptCount val="5"/>
                <c:pt idx="0">
                  <c:v>420194985.94703841</c:v>
                </c:pt>
                <c:pt idx="1">
                  <c:v>458215548.40678859</c:v>
                </c:pt>
                <c:pt idx="2">
                  <c:v>513110126.17286628</c:v>
                </c:pt>
                <c:pt idx="3">
                  <c:v>415052396.98009998</c:v>
                </c:pt>
                <c:pt idx="4">
                  <c:v>422651910.58876532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1-4833-90E0-803220937440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Statewide!$C$21:$G$21</c:f>
              <c:numCache>
                <c:formatCode>#,##0</c:formatCode>
                <c:ptCount val="5"/>
                <c:pt idx="0">
                  <c:v>403151877.3170265</c:v>
                </c:pt>
                <c:pt idx="1">
                  <c:v>439630325.7634092</c:v>
                </c:pt>
                <c:pt idx="2">
                  <c:v>492298379.45529479</c:v>
                </c:pt>
                <c:pt idx="3">
                  <c:v>398217871.75858712</c:v>
                </c:pt>
                <c:pt idx="4">
                  <c:v>405509149.095285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1-4833-90E0-803220937440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Statewide!$C$25:$G$25</c:f>
              <c:numCache>
                <c:formatCode>#,##0</c:formatCode>
                <c:ptCount val="5"/>
                <c:pt idx="0">
                  <c:v>102794680.51714437</c:v>
                </c:pt>
                <c:pt idx="1">
                  <c:v>112095866.16152699</c:v>
                </c:pt>
                <c:pt idx="2">
                  <c:v>125525037.78971659</c:v>
                </c:pt>
                <c:pt idx="3">
                  <c:v>101536619.83682474</c:v>
                </c:pt>
                <c:pt idx="4">
                  <c:v>103395731.914823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1-4833-90E0-80322093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Alex!$C$58:$G$58</c:f>
              <c:numCache>
                <c:formatCode>#,##0</c:formatCode>
                <c:ptCount val="5"/>
                <c:pt idx="0">
                  <c:v>11846264</c:v>
                </c:pt>
                <c:pt idx="1">
                  <c:v>16010196.629766464</c:v>
                </c:pt>
                <c:pt idx="2">
                  <c:v>17414021.78290233</c:v>
                </c:pt>
                <c:pt idx="3">
                  <c:v>19079308.55325</c:v>
                </c:pt>
                <c:pt idx="4">
                  <c:v>16210597.025523556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7-4F41-BF01-9CF7541541F5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Alex!$C$59:$G$59</c:f>
              <c:numCache>
                <c:formatCode>#,##0</c:formatCode>
                <c:ptCount val="5"/>
                <c:pt idx="0">
                  <c:v>14089110.85454629</c:v>
                </c:pt>
                <c:pt idx="1">
                  <c:v>13959830.132952163</c:v>
                </c:pt>
                <c:pt idx="2">
                  <c:v>15128307.253327256</c:v>
                </c:pt>
                <c:pt idx="3">
                  <c:v>15975509.405068783</c:v>
                </c:pt>
                <c:pt idx="4">
                  <c:v>13729577.357661735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7-4F41-BF01-9CF7541541F5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Alex!$C$60:$G$60</c:f>
              <c:numCache>
                <c:formatCode>#,##0</c:formatCode>
                <c:ptCount val="5"/>
                <c:pt idx="0">
                  <c:v>5192230.0767987221</c:v>
                </c:pt>
                <c:pt idx="1">
                  <c:v>5016063.0149449967</c:v>
                </c:pt>
                <c:pt idx="2">
                  <c:v>5453097.2707221573</c:v>
                </c:pt>
                <c:pt idx="3">
                  <c:v>5944468.9204282761</c:v>
                </c:pt>
                <c:pt idx="4">
                  <c:v>5058513.4805004848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7-4F41-BF01-9CF754154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Walking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14202848468394"/>
          <c:y val="0.17171292834205781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Alex!$C$19:$G$19</c:f>
              <c:numCache>
                <c:formatCode>#,##0</c:formatCode>
                <c:ptCount val="5"/>
                <c:pt idx="0">
                  <c:v>15638850</c:v>
                </c:pt>
                <c:pt idx="1">
                  <c:v>14852999</c:v>
                </c:pt>
                <c:pt idx="2">
                  <c:v>16182080</c:v>
                </c:pt>
                <c:pt idx="3">
                  <c:v>18017867</c:v>
                </c:pt>
                <c:pt idx="4">
                  <c:v>15233680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2-4BD1-A8B3-C78EC7D187C9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Alex!$C$23:$G$23</c:f>
              <c:numCache>
                <c:formatCode>#,##0</c:formatCode>
                <c:ptCount val="5"/>
                <c:pt idx="0">
                  <c:v>11285609</c:v>
                </c:pt>
                <c:pt idx="1">
                  <c:v>10718508</c:v>
                </c:pt>
                <c:pt idx="2">
                  <c:v>11677626</c:v>
                </c:pt>
                <c:pt idx="3">
                  <c:v>13002401</c:v>
                </c:pt>
                <c:pt idx="4">
                  <c:v>10993223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2-4BD1-A8B3-C78EC7D187C9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Alex!$C$27:$G$27</c:f>
              <c:numCache>
                <c:formatCode>#,##0</c:formatCode>
                <c:ptCount val="5"/>
                <c:pt idx="0">
                  <c:v>4781695.6788750002</c:v>
                </c:pt>
                <c:pt idx="1">
                  <c:v>4541415.8417425007</c:v>
                </c:pt>
                <c:pt idx="2">
                  <c:v>4947792.3256000001</c:v>
                </c:pt>
                <c:pt idx="3">
                  <c:v>5509097.9692525007</c:v>
                </c:pt>
                <c:pt idx="4">
                  <c:v>4657811.9126000004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2-4BD1-A8B3-C78EC7D18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Alex!$C$43:$G$43</c:f>
              <c:numCache>
                <c:formatCode>#,##0</c:formatCode>
                <c:ptCount val="5"/>
                <c:pt idx="0">
                  <c:v>1000889.6271510239</c:v>
                </c:pt>
                <c:pt idx="1">
                  <c:v>1157197.629766464</c:v>
                </c:pt>
                <c:pt idx="2">
                  <c:v>1231941.7829023304</c:v>
                </c:pt>
                <c:pt idx="3">
                  <c:v>1061441.5532499999</c:v>
                </c:pt>
                <c:pt idx="4">
                  <c:v>976917.02552355581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8-4E64-8196-A9DC375F804A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Alex!$C$47:$G$47</c:f>
              <c:numCache>
                <c:formatCode>#,##0</c:formatCode>
                <c:ptCount val="5"/>
                <c:pt idx="0">
                  <c:v>2803501.8545462899</c:v>
                </c:pt>
                <c:pt idx="1">
                  <c:v>3241322.1329521635</c:v>
                </c:pt>
                <c:pt idx="2">
                  <c:v>3450681.2533272565</c:v>
                </c:pt>
                <c:pt idx="3">
                  <c:v>2973108.4050687826</c:v>
                </c:pt>
                <c:pt idx="4">
                  <c:v>2736354.3576617353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8-4E64-8196-A9DC375F804A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Alex!$C$51:$G$51</c:f>
              <c:numCache>
                <c:formatCode>#,##0</c:formatCode>
                <c:ptCount val="5"/>
                <c:pt idx="0">
                  <c:v>410534.39792372193</c:v>
                </c:pt>
                <c:pt idx="1">
                  <c:v>474647.17320249567</c:v>
                </c:pt>
                <c:pt idx="2">
                  <c:v>505304.94512215746</c:v>
                </c:pt>
                <c:pt idx="3">
                  <c:v>435370.95117577584</c:v>
                </c:pt>
                <c:pt idx="4">
                  <c:v>400701.56790048414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8-4E64-8196-A9DC375F8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Alex!$C$28:$G$28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D-4511-AA0C-FC88C9E13DB8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Alex!$C$52:$G$52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D-4511-AA0C-FC88C9E13DB8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Alex!$C$61:$G$61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4D-4511-AA0C-FC88C9E1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Alex!$C$29:$G$29</c:f>
              <c:numCache>
                <c:formatCode>0.000</c:formatCode>
                <c:ptCount val="5"/>
                <c:pt idx="0">
                  <c:v>0.62739249870159375</c:v>
                </c:pt>
                <c:pt idx="1">
                  <c:v>0.22019564709500572</c:v>
                </c:pt>
                <c:pt idx="2">
                  <c:v>0.80844136875024053</c:v>
                </c:pt>
                <c:pt idx="3">
                  <c:v>1.0891075151480936</c:v>
                </c:pt>
                <c:pt idx="4">
                  <c:v>1.0734654154828225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7-4A9B-99A6-716D451E8BAD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Alex!$C$53:$G$53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7-4A9B-99A6-716D451E8BAD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Alex!$C$62:$G$62</c:f>
              <c:numCache>
                <c:formatCode>0.000</c:formatCode>
                <c:ptCount val="5"/>
                <c:pt idx="0">
                  <c:v>0.57778641462853952</c:v>
                </c:pt>
                <c:pt idx="1">
                  <c:v>0.19935953695569064</c:v>
                </c:pt>
                <c:pt idx="2">
                  <c:v>0.73352808530963132</c:v>
                </c:pt>
                <c:pt idx="3">
                  <c:v>1.0093416384735212</c:v>
                </c:pt>
                <c:pt idx="4">
                  <c:v>0.98843267281464353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7-4A9B-99A6-716D451E8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Alex!$C$19:$G$19</c:f>
              <c:numCache>
                <c:formatCode>#,##0</c:formatCode>
                <c:ptCount val="5"/>
                <c:pt idx="0">
                  <c:v>15638850</c:v>
                </c:pt>
                <c:pt idx="1">
                  <c:v>14852999</c:v>
                </c:pt>
                <c:pt idx="2">
                  <c:v>16182080</c:v>
                </c:pt>
                <c:pt idx="3">
                  <c:v>18017867</c:v>
                </c:pt>
                <c:pt idx="4">
                  <c:v>15233680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3-40B2-9E78-09B57672B461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Alex!$C$43:$G$43</c:f>
              <c:numCache>
                <c:formatCode>#,##0</c:formatCode>
                <c:ptCount val="5"/>
                <c:pt idx="0">
                  <c:v>1000889.6271510239</c:v>
                </c:pt>
                <c:pt idx="1">
                  <c:v>1157197.629766464</c:v>
                </c:pt>
                <c:pt idx="2">
                  <c:v>1231941.7829023304</c:v>
                </c:pt>
                <c:pt idx="3">
                  <c:v>1061441.5532499999</c:v>
                </c:pt>
                <c:pt idx="4">
                  <c:v>976917.02552355581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3-40B2-9E78-09B57672B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Alex!$C$23:$G$23</c:f>
              <c:numCache>
                <c:formatCode>#,##0</c:formatCode>
                <c:ptCount val="5"/>
                <c:pt idx="0">
                  <c:v>11285609</c:v>
                </c:pt>
                <c:pt idx="1">
                  <c:v>10718508</c:v>
                </c:pt>
                <c:pt idx="2">
                  <c:v>11677626</c:v>
                </c:pt>
                <c:pt idx="3">
                  <c:v>13002401</c:v>
                </c:pt>
                <c:pt idx="4">
                  <c:v>10993223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C-4DF3-A6A3-CB5A6AAE537B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Alex!$C$47:$G$47</c:f>
              <c:numCache>
                <c:formatCode>#,##0</c:formatCode>
                <c:ptCount val="5"/>
                <c:pt idx="0">
                  <c:v>2803501.8545462899</c:v>
                </c:pt>
                <c:pt idx="1">
                  <c:v>3241322.1329521635</c:v>
                </c:pt>
                <c:pt idx="2">
                  <c:v>3450681.2533272565</c:v>
                </c:pt>
                <c:pt idx="3">
                  <c:v>2973108.4050687826</c:v>
                </c:pt>
                <c:pt idx="4">
                  <c:v>2736354.3576617353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C-4DF3-A6A3-CB5A6AAE5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Alex!$C$27:$G$27</c:f>
              <c:numCache>
                <c:formatCode>#,##0</c:formatCode>
                <c:ptCount val="5"/>
                <c:pt idx="0">
                  <c:v>4781695.6788750002</c:v>
                </c:pt>
                <c:pt idx="1">
                  <c:v>4541415.8417425007</c:v>
                </c:pt>
                <c:pt idx="2">
                  <c:v>4947792.3256000001</c:v>
                </c:pt>
                <c:pt idx="3">
                  <c:v>5509097.9692525007</c:v>
                </c:pt>
                <c:pt idx="4">
                  <c:v>4657811.9126000004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3-409F-8759-6D570BFF1A00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Alex!$C$51:$G$51</c:f>
              <c:numCache>
                <c:formatCode>#,##0</c:formatCode>
                <c:ptCount val="5"/>
                <c:pt idx="0">
                  <c:v>410534.39792372193</c:v>
                </c:pt>
                <c:pt idx="1">
                  <c:v>474647.17320249567</c:v>
                </c:pt>
                <c:pt idx="2">
                  <c:v>505304.94512215746</c:v>
                </c:pt>
                <c:pt idx="3">
                  <c:v>435370.95117577584</c:v>
                </c:pt>
                <c:pt idx="4">
                  <c:v>400701.56790048414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3-409F-8759-6D570BFF1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CRPC!$C$58:$G$58</c:f>
              <c:numCache>
                <c:formatCode>#,##0</c:formatCode>
                <c:ptCount val="5"/>
                <c:pt idx="0">
                  <c:v>106532018.79559556</c:v>
                </c:pt>
                <c:pt idx="1">
                  <c:v>103654189.40870701</c:v>
                </c:pt>
                <c:pt idx="2">
                  <c:v>108110104.17667291</c:v>
                </c:pt>
                <c:pt idx="3">
                  <c:v>95277160.20494999</c:v>
                </c:pt>
                <c:pt idx="4">
                  <c:v>85909584.968544364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2-4D5E-B547-58F70EB26194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CRPC!$C$59:$G$59</c:f>
              <c:numCache>
                <c:formatCode>#,##0</c:formatCode>
                <c:ptCount val="5"/>
                <c:pt idx="0">
                  <c:v>101666008.11604507</c:v>
                </c:pt>
                <c:pt idx="1">
                  <c:v>97715396.285857946</c:v>
                </c:pt>
                <c:pt idx="2">
                  <c:v>101767940.97275046</c:v>
                </c:pt>
                <c:pt idx="3">
                  <c:v>90740227.919092879</c:v>
                </c:pt>
                <c:pt idx="4">
                  <c:v>83639289.782463893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2-4D5E-B547-58F70EB26194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CRPC!$C$60:$G$60</c:f>
              <c:numCache>
                <c:formatCode>#,##0</c:formatCode>
                <c:ptCount val="5"/>
                <c:pt idx="0">
                  <c:v>46219092.357492268</c:v>
                </c:pt>
                <c:pt idx="1">
                  <c:v>43426907.917762943</c:v>
                </c:pt>
                <c:pt idx="2">
                  <c:v>45103951.513487577</c:v>
                </c:pt>
                <c:pt idx="3">
                  <c:v>41099007.341270074</c:v>
                </c:pt>
                <c:pt idx="4">
                  <c:v>39391865.850878261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2-4D5E-B547-58F70EB26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Walking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CRPC!$C$19:$G$19</c:f>
              <c:numCache>
                <c:formatCode>#,##0</c:formatCode>
                <c:ptCount val="5"/>
                <c:pt idx="0">
                  <c:v>100319851.63515584</c:v>
                </c:pt>
                <c:pt idx="1">
                  <c:v>98223914.244393006</c:v>
                </c:pt>
                <c:pt idx="2">
                  <c:v>102521897.52741</c:v>
                </c:pt>
                <c:pt idx="3">
                  <c:v>89815633.840499997</c:v>
                </c:pt>
                <c:pt idx="4">
                  <c:v>80056662.184493199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E-4038-911E-6A6C380566FE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CRPC!$C$23:$G$23</c:f>
              <c:numCache>
                <c:formatCode>#,##0</c:formatCode>
                <c:ptCount val="5"/>
                <c:pt idx="0">
                  <c:v>84265665.777981848</c:v>
                </c:pt>
                <c:pt idx="1">
                  <c:v>82505141.247862786</c:v>
                </c:pt>
                <c:pt idx="2">
                  <c:v>86115318.266098574</c:v>
                </c:pt>
                <c:pt idx="3">
                  <c:v>75442437.957004786</c:v>
                </c:pt>
                <c:pt idx="4">
                  <c:v>67245194.535108745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E-4038-911E-6A6C380566FE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CRPC!$C$27:$G$27</c:f>
              <c:numCache>
                <c:formatCode>#,##0</c:formatCode>
                <c:ptCount val="5"/>
                <c:pt idx="0">
                  <c:v>28818750.019429039</c:v>
                </c:pt>
                <c:pt idx="1">
                  <c:v>28216652.879767787</c:v>
                </c:pt>
                <c:pt idx="2">
                  <c:v>29451328.8068357</c:v>
                </c:pt>
                <c:pt idx="3">
                  <c:v>25801217.379181981</c:v>
                </c:pt>
                <c:pt idx="4">
                  <c:v>22997770.603523117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E-4038-911E-6A6C38056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Statewide!$C$41:$G$41</c:f>
              <c:numCache>
                <c:formatCode>#,##0</c:formatCode>
                <c:ptCount val="5"/>
                <c:pt idx="0">
                  <c:v>47367128.095197648</c:v>
                </c:pt>
                <c:pt idx="1">
                  <c:v>40109910.733534642</c:v>
                </c:pt>
                <c:pt idx="2">
                  <c:v>45826970.282513574</c:v>
                </c:pt>
                <c:pt idx="3">
                  <c:v>40960129.917300001</c:v>
                </c:pt>
                <c:pt idx="4">
                  <c:v>49511712.581176229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1-464F-BA1E-60967B4BB7DB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Statewide!$C$45:$G$45</c:f>
              <c:numCache>
                <c:formatCode>#,##0</c:formatCode>
                <c:ptCount val="5"/>
                <c:pt idx="0">
                  <c:v>73861457.523965493</c:v>
                </c:pt>
                <c:pt idx="1">
                  <c:v>62544988.203229904</c:v>
                </c:pt>
                <c:pt idx="2">
                  <c:v>71459827.840334713</c:v>
                </c:pt>
                <c:pt idx="3">
                  <c:v>63870768.985242583</c:v>
                </c:pt>
                <c:pt idx="4">
                  <c:v>77205593.89633134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1-464F-BA1E-60967B4BB7DB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Statewide!$C$49:$G$49</c:f>
              <c:numCache>
                <c:formatCode>#,##0</c:formatCode>
                <c:ptCount val="5"/>
                <c:pt idx="0">
                  <c:v>14478749.517465811</c:v>
                </c:pt>
                <c:pt idx="1">
                  <c:v>12260429.838845145</c:v>
                </c:pt>
                <c:pt idx="2">
                  <c:v>14007968.195397826</c:v>
                </c:pt>
                <c:pt idx="3">
                  <c:v>12520317.045262689</c:v>
                </c:pt>
                <c:pt idx="4">
                  <c:v>15134286.444448622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1-464F-BA1E-60967B4BB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CRPC!$C$43:$G$43</c:f>
              <c:numCache>
                <c:formatCode>#,##0</c:formatCode>
                <c:ptCount val="5"/>
                <c:pt idx="0">
                  <c:v>6212167.1604397083</c:v>
                </c:pt>
                <c:pt idx="1">
                  <c:v>5430275.1643139999</c:v>
                </c:pt>
                <c:pt idx="2">
                  <c:v>5588206.6492628995</c:v>
                </c:pt>
                <c:pt idx="3">
                  <c:v>5461526.3644499993</c:v>
                </c:pt>
                <c:pt idx="4">
                  <c:v>5852922.7840511603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C-49B8-BE4D-CB3225F624D8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CRPC!$C$47:$G$47</c:f>
              <c:numCache>
                <c:formatCode>#,##0</c:formatCode>
                <c:ptCount val="5"/>
                <c:pt idx="0">
                  <c:v>17400342.338063229</c:v>
                </c:pt>
                <c:pt idx="1">
                  <c:v>15210255.037995158</c:v>
                </c:pt>
                <c:pt idx="2">
                  <c:v>15652622.706651876</c:v>
                </c:pt>
                <c:pt idx="3">
                  <c:v>15297789.962088093</c:v>
                </c:pt>
                <c:pt idx="4">
                  <c:v>16394095.247355143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C-49B8-BE4D-CB3225F624D8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CRPC!$C$51:$G$51</c:f>
              <c:numCache>
                <c:formatCode>#,##0</c:formatCode>
                <c:ptCount val="5"/>
                <c:pt idx="0">
                  <c:v>17400342.338063229</c:v>
                </c:pt>
                <c:pt idx="1">
                  <c:v>15210255.037995158</c:v>
                </c:pt>
                <c:pt idx="2">
                  <c:v>15652622.706651876</c:v>
                </c:pt>
                <c:pt idx="3">
                  <c:v>15297789.962088093</c:v>
                </c:pt>
                <c:pt idx="4">
                  <c:v>16394095.247355143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3C-49B8-BE4D-CB3225F62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CRPC!$C$28:$G$28</c:f>
              <c:numCache>
                <c:formatCode>General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11</c:v>
                </c:pt>
                <c:pt idx="3">
                  <c:v>25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F-48D0-9D2D-DB47FD19096D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CRPC!$C$52:$G$52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F-48D0-9D2D-DB47FD19096D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CRPC!$C$61:$G$61</c:f>
              <c:numCache>
                <c:formatCode>General</c:formatCode>
                <c:ptCount val="5"/>
                <c:pt idx="0">
                  <c:v>15</c:v>
                </c:pt>
                <c:pt idx="1">
                  <c:v>17</c:v>
                </c:pt>
                <c:pt idx="2">
                  <c:v>17</c:v>
                </c:pt>
                <c:pt idx="3">
                  <c:v>29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BF-48D0-9D2D-DB47FD190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CRPC!$C$29:$G$29</c:f>
              <c:numCache>
                <c:formatCode>0.000</c:formatCode>
                <c:ptCount val="5"/>
                <c:pt idx="0">
                  <c:v>0.52049446939535171</c:v>
                </c:pt>
                <c:pt idx="1">
                  <c:v>0.56704103311532372</c:v>
                </c:pt>
                <c:pt idx="2">
                  <c:v>0.37349757873902389</c:v>
                </c:pt>
                <c:pt idx="3">
                  <c:v>0.96894652808791681</c:v>
                </c:pt>
                <c:pt idx="4">
                  <c:v>0.78268456148712573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A-4F49-A9C3-AD15547EED9A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CRPC!$C$53:$G$53</c:f>
              <c:numCache>
                <c:formatCode>0.000</c:formatCode>
                <c:ptCount val="5"/>
                <c:pt idx="0">
                  <c:v>0</c:v>
                </c:pt>
                <c:pt idx="1">
                  <c:v>6.5745117192447064E-2</c:v>
                </c:pt>
                <c:pt idx="2">
                  <c:v>0.38332234236056728</c:v>
                </c:pt>
                <c:pt idx="3">
                  <c:v>0.26147567785366654</c:v>
                </c:pt>
                <c:pt idx="4">
                  <c:v>0.24399028672505238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A-4F49-A9C3-AD15547EED9A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CRPC!$C$62:$G$62</c:f>
              <c:numCache>
                <c:formatCode>0.000</c:formatCode>
                <c:ptCount val="5"/>
                <c:pt idx="0">
                  <c:v>0.32454120656414082</c:v>
                </c:pt>
                <c:pt idx="1">
                  <c:v>0.39146236320100697</c:v>
                </c:pt>
                <c:pt idx="2">
                  <c:v>0.37690710967788343</c:v>
                </c:pt>
                <c:pt idx="3">
                  <c:v>0.70561314922268925</c:v>
                </c:pt>
                <c:pt idx="4">
                  <c:v>0.55849093524239601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A-4F49-A9C3-AD15547E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CRPC!$C$19:$G$19</c:f>
              <c:numCache>
                <c:formatCode>#,##0</c:formatCode>
                <c:ptCount val="5"/>
                <c:pt idx="0">
                  <c:v>100319851.63515584</c:v>
                </c:pt>
                <c:pt idx="1">
                  <c:v>98223914.244393006</c:v>
                </c:pt>
                <c:pt idx="2">
                  <c:v>102521897.52741</c:v>
                </c:pt>
                <c:pt idx="3">
                  <c:v>89815633.840499997</c:v>
                </c:pt>
                <c:pt idx="4">
                  <c:v>80056662.184493199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D-41E5-AAE1-638017A80A8C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CRPC!$C$43:$G$43</c:f>
              <c:numCache>
                <c:formatCode>#,##0</c:formatCode>
                <c:ptCount val="5"/>
                <c:pt idx="0">
                  <c:v>6212167.1604397083</c:v>
                </c:pt>
                <c:pt idx="1">
                  <c:v>5430275.1643139999</c:v>
                </c:pt>
                <c:pt idx="2">
                  <c:v>5588206.6492628995</c:v>
                </c:pt>
                <c:pt idx="3">
                  <c:v>5461526.3644499993</c:v>
                </c:pt>
                <c:pt idx="4">
                  <c:v>5852922.7840511603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D-41E5-AAE1-638017A80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CRPC!$C$23:$G$23</c:f>
              <c:numCache>
                <c:formatCode>#,##0</c:formatCode>
                <c:ptCount val="5"/>
                <c:pt idx="0">
                  <c:v>84265665.777981848</c:v>
                </c:pt>
                <c:pt idx="1">
                  <c:v>82505141.247862786</c:v>
                </c:pt>
                <c:pt idx="2">
                  <c:v>86115318.266098574</c:v>
                </c:pt>
                <c:pt idx="3">
                  <c:v>75442437.957004786</c:v>
                </c:pt>
                <c:pt idx="4">
                  <c:v>67245194.535108745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1-431D-8F39-D11031148ECF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CRPC!$C$47:$G$47</c:f>
              <c:numCache>
                <c:formatCode>#,##0</c:formatCode>
                <c:ptCount val="5"/>
                <c:pt idx="0">
                  <c:v>17400342.338063229</c:v>
                </c:pt>
                <c:pt idx="1">
                  <c:v>15210255.037995158</c:v>
                </c:pt>
                <c:pt idx="2">
                  <c:v>15652622.706651876</c:v>
                </c:pt>
                <c:pt idx="3">
                  <c:v>15297789.962088093</c:v>
                </c:pt>
                <c:pt idx="4">
                  <c:v>16394095.247355143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1-431D-8F39-D11031148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CRPC!$C$27:$G$27</c:f>
              <c:numCache>
                <c:formatCode>#,##0</c:formatCode>
                <c:ptCount val="5"/>
                <c:pt idx="0">
                  <c:v>28818750.019429039</c:v>
                </c:pt>
                <c:pt idx="1">
                  <c:v>28216652.879767787</c:v>
                </c:pt>
                <c:pt idx="2">
                  <c:v>29451328.8068357</c:v>
                </c:pt>
                <c:pt idx="3">
                  <c:v>25801217.379181981</c:v>
                </c:pt>
                <c:pt idx="4">
                  <c:v>22997770.603523117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3-464B-BD3E-C8DB7854AB2C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CRPC!$C$51:$G$51</c:f>
              <c:numCache>
                <c:formatCode>#,##0</c:formatCode>
                <c:ptCount val="5"/>
                <c:pt idx="0">
                  <c:v>17400342.338063229</c:v>
                </c:pt>
                <c:pt idx="1">
                  <c:v>15210255.037995158</c:v>
                </c:pt>
                <c:pt idx="2">
                  <c:v>15652622.706651876</c:v>
                </c:pt>
                <c:pt idx="3">
                  <c:v>15297789.962088093</c:v>
                </c:pt>
                <c:pt idx="4">
                  <c:v>16394095.247355143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3-464B-BD3E-C8DB7854A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HoumaTib!$C$58:$G$58</c:f>
              <c:numCache>
                <c:formatCode>#,##0</c:formatCode>
                <c:ptCount val="5"/>
                <c:pt idx="0">
                  <c:v>12801108.823914284</c:v>
                </c:pt>
                <c:pt idx="1">
                  <c:v>13254301.238711072</c:v>
                </c:pt>
                <c:pt idx="2">
                  <c:v>12759167.964815494</c:v>
                </c:pt>
                <c:pt idx="3">
                  <c:v>12256174.98525</c:v>
                </c:pt>
                <c:pt idx="4">
                  <c:v>14647791.625021825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C-4F26-8CCC-9D1EAD8CA6C2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HoumaTib!$C$59:$G$59</c:f>
              <c:numCache>
                <c:formatCode>#,##0</c:formatCode>
                <c:ptCount val="5"/>
                <c:pt idx="0">
                  <c:v>14842349.846666193</c:v>
                </c:pt>
                <c:pt idx="1">
                  <c:v>14055925.143341109</c:v>
                </c:pt>
                <c:pt idx="2">
                  <c:v>13506950.242518269</c:v>
                </c:pt>
                <c:pt idx="3">
                  <c:v>13457248.885842884</c:v>
                </c:pt>
                <c:pt idx="4">
                  <c:v>16179721.374881878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C-4F26-8CCC-9D1EAD8CA6C2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HoumaTib!$C$60:$G$60</c:f>
              <c:numCache>
                <c:formatCode>#,##0</c:formatCode>
                <c:ptCount val="5"/>
                <c:pt idx="0">
                  <c:v>3809225.4116635295</c:v>
                </c:pt>
                <c:pt idx="1">
                  <c:v>3881845.4988384168</c:v>
                </c:pt>
                <c:pt idx="2">
                  <c:v>3735700.0091738584</c:v>
                </c:pt>
                <c:pt idx="3">
                  <c:v>3611333.8215668378</c:v>
                </c:pt>
                <c:pt idx="4">
                  <c:v>4320611.0113565046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C-4F26-8CCC-9D1EAD8C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Walking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HoumaTib!$C$19:$G$19</c:f>
              <c:numCache>
                <c:formatCode>#,##0</c:formatCode>
                <c:ptCount val="5"/>
                <c:pt idx="0">
                  <c:v>10894047.724384094</c:v>
                </c:pt>
                <c:pt idx="1">
                  <c:v>11999527.238711072</c:v>
                </c:pt>
                <c:pt idx="2">
                  <c:v>11564378.964815494</c:v>
                </c:pt>
                <c:pt idx="3">
                  <c:v>10843600.98525</c:v>
                </c:pt>
                <c:pt idx="4">
                  <c:v>12906635.625021825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2-4F05-A804-E6729A33C467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HoumaTib!$C$23:$G$23</c:f>
              <c:numCache>
                <c:formatCode>#,##0</c:formatCode>
                <c:ptCount val="5"/>
                <c:pt idx="0">
                  <c:v>9673260.7363896109</c:v>
                </c:pt>
                <c:pt idx="1">
                  <c:v>10654860.216341108</c:v>
                </c:pt>
                <c:pt idx="2">
                  <c:v>10268474.658018269</c:v>
                </c:pt>
                <c:pt idx="3">
                  <c:v>9628467.0588428844</c:v>
                </c:pt>
                <c:pt idx="4">
                  <c:v>11460318.036881879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2-4F05-A804-E6729A33C467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HoumaTib!$C$27:$G$27</c:f>
              <c:numCache>
                <c:formatCode>#,##0</c:formatCode>
                <c:ptCount val="5"/>
                <c:pt idx="0">
                  <c:v>3101415.5526071833</c:v>
                </c:pt>
                <c:pt idx="1">
                  <c:v>3416133.4100614167</c:v>
                </c:pt>
                <c:pt idx="2">
                  <c:v>3292251.4831143585</c:v>
                </c:pt>
                <c:pt idx="3">
                  <c:v>3087053.9208898377</c:v>
                </c:pt>
                <c:pt idx="4">
                  <c:v>3674377.1894518384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02-4F05-A804-E6729A33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HoumaTib!$C$43:$G$43</c:f>
              <c:numCache>
                <c:formatCode>#,##0</c:formatCode>
                <c:ptCount val="5"/>
                <c:pt idx="0">
                  <c:v>1907061.0995301905</c:v>
                </c:pt>
                <c:pt idx="1">
                  <c:v>1254774</c:v>
                </c:pt>
                <c:pt idx="2">
                  <c:v>1194789</c:v>
                </c:pt>
                <c:pt idx="3">
                  <c:v>1412574</c:v>
                </c:pt>
                <c:pt idx="4">
                  <c:v>1741156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6-40AC-BC08-92EEFD4DB5BD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HoumaTib!$C$47:$G$47</c:f>
              <c:numCache>
                <c:formatCode>#,##0</c:formatCode>
                <c:ptCount val="5"/>
                <c:pt idx="0">
                  <c:v>5169089.1102765817</c:v>
                </c:pt>
                <c:pt idx="1">
                  <c:v>3401064.9270000001</c:v>
                </c:pt>
                <c:pt idx="2">
                  <c:v>3238475.5845000003</c:v>
                </c:pt>
                <c:pt idx="3">
                  <c:v>3828781.827</c:v>
                </c:pt>
                <c:pt idx="4">
                  <c:v>4719403.3380000005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6-40AC-BC08-92EEFD4DB5BD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HoumaTib!$C$51:$G$51</c:f>
              <c:numCache>
                <c:formatCode>#,##0</c:formatCode>
                <c:ptCount val="5"/>
                <c:pt idx="0">
                  <c:v>707809.85905634589</c:v>
                </c:pt>
                <c:pt idx="1">
                  <c:v>465712.08877700003</c:v>
                </c:pt>
                <c:pt idx="2">
                  <c:v>443448.5260595</c:v>
                </c:pt>
                <c:pt idx="3">
                  <c:v>524279.900677</c:v>
                </c:pt>
                <c:pt idx="4">
                  <c:v>646233.82190466672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6-40AC-BC08-92EEFD4DB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HoumaTib!$C$28:$G$28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6-40A1-B460-D42E38425925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HoumaTib!$C$52:$G$52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6-40A1-B460-D42E38425925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HoumaTib!$C$61:$G$61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6-40A1-B460-D42E38425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Statewide!$C$26:$G$26</c:f>
              <c:numCache>
                <c:formatCode>General</c:formatCode>
                <c:ptCount val="5"/>
                <c:pt idx="0">
                  <c:v>97</c:v>
                </c:pt>
                <c:pt idx="1">
                  <c:v>105</c:v>
                </c:pt>
                <c:pt idx="2">
                  <c:v>106</c:v>
                </c:pt>
                <c:pt idx="3">
                  <c:v>127</c:v>
                </c:pt>
                <c:pt idx="4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C-4B94-B48C-2581A0C89DD0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Statewide!$C$50:$G$50</c:f>
              <c:numCache>
                <c:formatCode>General</c:formatCode>
                <c:ptCount val="5"/>
                <c:pt idx="0">
                  <c:v>14</c:v>
                </c:pt>
                <c:pt idx="1">
                  <c:v>13</c:v>
                </c:pt>
                <c:pt idx="2">
                  <c:v>34</c:v>
                </c:pt>
                <c:pt idx="3">
                  <c:v>22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C-4B94-B48C-2581A0C89DD0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Statewide!$C$59:$G$59</c:f>
              <c:numCache>
                <c:formatCode>General</c:formatCode>
                <c:ptCount val="5"/>
                <c:pt idx="0">
                  <c:v>111</c:v>
                </c:pt>
                <c:pt idx="1">
                  <c:v>118</c:v>
                </c:pt>
                <c:pt idx="2">
                  <c:v>140</c:v>
                </c:pt>
                <c:pt idx="3">
                  <c:v>149</c:v>
                </c:pt>
                <c:pt idx="4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C-4B94-B48C-2581A0C89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HoumaTib!$C$29:$G$29</c:f>
              <c:numCache>
                <c:formatCode>0.000</c:formatCode>
                <c:ptCount val="5"/>
                <c:pt idx="0">
                  <c:v>0.96730023729908454</c:v>
                </c:pt>
                <c:pt idx="1">
                  <c:v>0.8781858434346288</c:v>
                </c:pt>
                <c:pt idx="2">
                  <c:v>0.60748700707033099</c:v>
                </c:pt>
                <c:pt idx="3">
                  <c:v>1.619667206382569</c:v>
                </c:pt>
                <c:pt idx="4">
                  <c:v>0.81646489876221839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C-4BF8-90DB-D80DC81C027A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HoumaTib!$C$53:$G$53</c:f>
              <c:numCache>
                <c:formatCode>0.000</c:formatCode>
                <c:ptCount val="5"/>
                <c:pt idx="0">
                  <c:v>1.41280880338853</c:v>
                </c:pt>
                <c:pt idx="1">
                  <c:v>2.1472493931306054</c:v>
                </c:pt>
                <c:pt idx="2">
                  <c:v>6.7651594800824144</c:v>
                </c:pt>
                <c:pt idx="3">
                  <c:v>0</c:v>
                </c:pt>
                <c:pt idx="4">
                  <c:v>1.5474275194273588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C-4BF8-90DB-D80DC81C027A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HoumaTib!$C$62:$G$62</c:f>
              <c:numCache>
                <c:formatCode>0.000</c:formatCode>
                <c:ptCount val="5"/>
                <c:pt idx="0">
                  <c:v>1.0500822523530202</c:v>
                </c:pt>
                <c:pt idx="1">
                  <c:v>1.0304377135042957</c:v>
                </c:pt>
                <c:pt idx="2">
                  <c:v>1.3384372373909483</c:v>
                </c:pt>
                <c:pt idx="3">
                  <c:v>1.3845299955767219</c:v>
                </c:pt>
                <c:pt idx="4">
                  <c:v>0.92579498350724121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C-4BF8-90DB-D80DC81C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HoumaTib!$C$19:$G$19</c:f>
              <c:numCache>
                <c:formatCode>#,##0</c:formatCode>
                <c:ptCount val="5"/>
                <c:pt idx="0">
                  <c:v>10894047.724384094</c:v>
                </c:pt>
                <c:pt idx="1">
                  <c:v>11999527.238711072</c:v>
                </c:pt>
                <c:pt idx="2">
                  <c:v>11564378.964815494</c:v>
                </c:pt>
                <c:pt idx="3">
                  <c:v>10843600.98525</c:v>
                </c:pt>
                <c:pt idx="4">
                  <c:v>12906635.625021825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7-4865-B875-3E252D0940F8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HoumaTib!$C$43:$G$43</c:f>
              <c:numCache>
                <c:formatCode>#,##0</c:formatCode>
                <c:ptCount val="5"/>
                <c:pt idx="0">
                  <c:v>1907061.0995301905</c:v>
                </c:pt>
                <c:pt idx="1">
                  <c:v>1254774</c:v>
                </c:pt>
                <c:pt idx="2">
                  <c:v>1194789</c:v>
                </c:pt>
                <c:pt idx="3">
                  <c:v>1412574</c:v>
                </c:pt>
                <c:pt idx="4">
                  <c:v>1741156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7-4865-B875-3E252D094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HoumaTib!$C$23:$G$23</c:f>
              <c:numCache>
                <c:formatCode>#,##0</c:formatCode>
                <c:ptCount val="5"/>
                <c:pt idx="0">
                  <c:v>9673260.7363896109</c:v>
                </c:pt>
                <c:pt idx="1">
                  <c:v>10654860.216341108</c:v>
                </c:pt>
                <c:pt idx="2">
                  <c:v>10268474.658018269</c:v>
                </c:pt>
                <c:pt idx="3">
                  <c:v>9628467.0588428844</c:v>
                </c:pt>
                <c:pt idx="4">
                  <c:v>11460318.036881879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7-4893-85E4-38B1A38B3845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HoumaTib!$C$47:$G$47</c:f>
              <c:numCache>
                <c:formatCode>#,##0</c:formatCode>
                <c:ptCount val="5"/>
                <c:pt idx="0">
                  <c:v>5169089.1102765817</c:v>
                </c:pt>
                <c:pt idx="1">
                  <c:v>3401064.9270000001</c:v>
                </c:pt>
                <c:pt idx="2">
                  <c:v>3238475.5845000003</c:v>
                </c:pt>
                <c:pt idx="3">
                  <c:v>3828781.827</c:v>
                </c:pt>
                <c:pt idx="4">
                  <c:v>4719403.3380000005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7-4893-85E4-38B1A38B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HoumaTib!$C$27:$G$27</c:f>
              <c:numCache>
                <c:formatCode>#,##0</c:formatCode>
                <c:ptCount val="5"/>
                <c:pt idx="0">
                  <c:v>3101415.5526071833</c:v>
                </c:pt>
                <c:pt idx="1">
                  <c:v>3416133.4100614167</c:v>
                </c:pt>
                <c:pt idx="2">
                  <c:v>3292251.4831143585</c:v>
                </c:pt>
                <c:pt idx="3">
                  <c:v>3087053.9208898377</c:v>
                </c:pt>
                <c:pt idx="4">
                  <c:v>3674377.1894518384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6-4CAE-BFAA-1656341E6F3B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HoumaTib!$C$51:$G$51</c:f>
              <c:numCache>
                <c:formatCode>#,##0</c:formatCode>
                <c:ptCount val="5"/>
                <c:pt idx="0">
                  <c:v>707809.85905634589</c:v>
                </c:pt>
                <c:pt idx="1">
                  <c:v>465712.08877700003</c:v>
                </c:pt>
                <c:pt idx="2">
                  <c:v>443448.5260595</c:v>
                </c:pt>
                <c:pt idx="3">
                  <c:v>524279.900677</c:v>
                </c:pt>
                <c:pt idx="4">
                  <c:v>646233.82190466672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6-4CAE-BFAA-1656341E6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calcasieu!$C$58:$G$58</c:f>
              <c:numCache>
                <c:formatCode>#,##0</c:formatCode>
                <c:ptCount val="5"/>
                <c:pt idx="0">
                  <c:v>23465590.107648406</c:v>
                </c:pt>
                <c:pt idx="1">
                  <c:v>20683016.150056511</c:v>
                </c:pt>
                <c:pt idx="2">
                  <c:v>25048272.922338929</c:v>
                </c:pt>
                <c:pt idx="3">
                  <c:v>24970011.875600003</c:v>
                </c:pt>
                <c:pt idx="4">
                  <c:v>27151097.660299536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F-4123-B46D-85DD2C707AAD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calcasieu!$C$59:$G$59</c:f>
              <c:numCache>
                <c:formatCode>#,##0</c:formatCode>
                <c:ptCount val="5"/>
                <c:pt idx="0">
                  <c:v>21045322.638267715</c:v>
                </c:pt>
                <c:pt idx="1">
                  <c:v>19399190.528620549</c:v>
                </c:pt>
                <c:pt idx="2">
                  <c:v>23915227.776187174</c:v>
                </c:pt>
                <c:pt idx="3">
                  <c:v>25373458.831134483</c:v>
                </c:pt>
                <c:pt idx="4">
                  <c:v>27417438.827011067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F-4123-B46D-85DD2C707AAD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calcasieu!$C$60:$G$60</c:f>
              <c:numCache>
                <c:formatCode>#,##0</c:formatCode>
                <c:ptCount val="5"/>
                <c:pt idx="0">
                  <c:v>6800793.4614736289</c:v>
                </c:pt>
                <c:pt idx="1">
                  <c:v>6032441.4628571291</c:v>
                </c:pt>
                <c:pt idx="2">
                  <c:v>7324531.979359773</c:v>
                </c:pt>
                <c:pt idx="3">
                  <c:v>7370392.0367272645</c:v>
                </c:pt>
                <c:pt idx="4">
                  <c:v>8006453.7465869673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2F-4123-B46D-85DD2C707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Walking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calcasieu!$C$19:$G$19</c:f>
              <c:numCache>
                <c:formatCode>#,##0</c:formatCode>
                <c:ptCount val="5"/>
                <c:pt idx="0">
                  <c:v>22751925.576448005</c:v>
                </c:pt>
                <c:pt idx="1">
                  <c:v>19599859.262405641</c:v>
                </c:pt>
                <c:pt idx="2">
                  <c:v>23511045.5217572</c:v>
                </c:pt>
                <c:pt idx="3">
                  <c:v>22618059.244000003</c:v>
                </c:pt>
                <c:pt idx="4">
                  <c:v>24685843.788247623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4-4138-9FA8-4DD5E7036426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calcasieu!$C$23:$G$23</c:f>
              <c:numCache>
                <c:formatCode>#,##0</c:formatCode>
                <c:ptCount val="5"/>
                <c:pt idx="0">
                  <c:v>19110934.926449031</c:v>
                </c:pt>
                <c:pt idx="1">
                  <c:v>16463293.784642866</c:v>
                </c:pt>
                <c:pt idx="2">
                  <c:v>19748572.906910397</c:v>
                </c:pt>
                <c:pt idx="3">
                  <c:v>18998491.223182682</c:v>
                </c:pt>
                <c:pt idx="4">
                  <c:v>20735368.206814356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4-4138-9FA8-4DD5E7036426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calcasieu!$C$27:$G$27</c:f>
              <c:numCache>
                <c:formatCode>#,##0</c:formatCode>
                <c:ptCount val="5"/>
                <c:pt idx="0">
                  <c:v>6535915.3244454497</c:v>
                </c:pt>
                <c:pt idx="1">
                  <c:v>5630425.4371655853</c:v>
                </c:pt>
                <c:pt idx="2">
                  <c:v>6753986.6989744958</c:v>
                </c:pt>
                <c:pt idx="3">
                  <c:v>6497459.7216115557</c:v>
                </c:pt>
                <c:pt idx="4">
                  <c:v>7091469.4305915106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4-4138-9FA8-4DD5E7036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calcasieu!$C$43:$G$43</c:f>
              <c:numCache>
                <c:formatCode>#,##0</c:formatCode>
                <c:ptCount val="5"/>
                <c:pt idx="0">
                  <c:v>713664.53120039986</c:v>
                </c:pt>
                <c:pt idx="1">
                  <c:v>1083156.8876508705</c:v>
                </c:pt>
                <c:pt idx="2">
                  <c:v>1537227.4005817298</c:v>
                </c:pt>
                <c:pt idx="3">
                  <c:v>2351952.6316</c:v>
                </c:pt>
                <c:pt idx="4">
                  <c:v>2465253.8720519128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3-41AB-B97F-61C3F7CC69F6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calcasieu!$C$47:$G$47</c:f>
              <c:numCache>
                <c:formatCode>#,##0</c:formatCode>
                <c:ptCount val="5"/>
                <c:pt idx="0">
                  <c:v>1934387.7118186839</c:v>
                </c:pt>
                <c:pt idx="1">
                  <c:v>2935896.7439776845</c:v>
                </c:pt>
                <c:pt idx="2">
                  <c:v>4166654.8692767788</c:v>
                </c:pt>
                <c:pt idx="3">
                  <c:v>6374967.6079518003</c:v>
                </c:pt>
                <c:pt idx="4">
                  <c:v>6682070.6201967103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3-41AB-B97F-61C3F7CC69F6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calcasieu!$C$51:$G$51</c:f>
              <c:numCache>
                <c:formatCode>#,##0</c:formatCode>
                <c:ptCount val="5"/>
                <c:pt idx="0">
                  <c:v>264878.13702817936</c:v>
                </c:pt>
                <c:pt idx="1">
                  <c:v>402016.02569154382</c:v>
                </c:pt>
                <c:pt idx="2">
                  <c:v>570545.280385277</c:v>
                </c:pt>
                <c:pt idx="3">
                  <c:v>872932.31511570851</c:v>
                </c:pt>
                <c:pt idx="4">
                  <c:v>914984.31599545688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3-41AB-B97F-61C3F7CC6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calcasieu!$C$28:$G$28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3-4294-947E-6CFD19DC96C8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calcasieu!$C$52:$G$52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3-4294-947E-6CFD19DC96C8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calcasieu!$C$61:$G$61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3-4294-947E-6CFD19DC9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calcasieu!$C$29:$G$29</c:f>
              <c:numCache>
                <c:formatCode>0.000</c:formatCode>
                <c:ptCount val="5"/>
                <c:pt idx="0">
                  <c:v>0.15300075817381351</c:v>
                </c:pt>
                <c:pt idx="1">
                  <c:v>0.35521294479779503</c:v>
                </c:pt>
                <c:pt idx="2">
                  <c:v>1.0364249016159386</c:v>
                </c:pt>
                <c:pt idx="3">
                  <c:v>1.3851567205664406</c:v>
                </c:pt>
                <c:pt idx="4">
                  <c:v>0.98710148418648946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B-407E-990F-AB4BDC9B3FBF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calcasieu!$C$53:$G$53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3.505418533388696</c:v>
                </c:pt>
                <c:pt idx="3">
                  <c:v>1.1455641894382711</c:v>
                </c:pt>
                <c:pt idx="4">
                  <c:v>1.0929149085053445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B-407E-990F-AB4BDC9B3FBF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calcasieu!$C$62:$G$62</c:f>
              <c:numCache>
                <c:formatCode>0.000</c:formatCode>
                <c:ptCount val="5"/>
                <c:pt idx="0">
                  <c:v>0.14704166589751355</c:v>
                </c:pt>
                <c:pt idx="1">
                  <c:v>0.33154072232849241</c:v>
                </c:pt>
                <c:pt idx="2">
                  <c:v>1.2287474510810557</c:v>
                </c:pt>
                <c:pt idx="3">
                  <c:v>1.3567799311310964</c:v>
                </c:pt>
                <c:pt idx="4">
                  <c:v>0.99919393194649775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B-407E-990F-AB4BDC9B3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calcasieu!$C$19:$G$19</c:f>
              <c:numCache>
                <c:formatCode>#,##0</c:formatCode>
                <c:ptCount val="5"/>
                <c:pt idx="0">
                  <c:v>22751925.576448005</c:v>
                </c:pt>
                <c:pt idx="1">
                  <c:v>19599859.262405641</c:v>
                </c:pt>
                <c:pt idx="2">
                  <c:v>23511045.5217572</c:v>
                </c:pt>
                <c:pt idx="3">
                  <c:v>22618059.244000003</c:v>
                </c:pt>
                <c:pt idx="4">
                  <c:v>24685843.788247623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F-46DB-80D4-E30E3121F37A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calcasieu!$C$43:$G$43</c:f>
              <c:numCache>
                <c:formatCode>#,##0</c:formatCode>
                <c:ptCount val="5"/>
                <c:pt idx="0">
                  <c:v>713664.53120039986</c:v>
                </c:pt>
                <c:pt idx="1">
                  <c:v>1083156.8876508705</c:v>
                </c:pt>
                <c:pt idx="2">
                  <c:v>1537227.4005817298</c:v>
                </c:pt>
                <c:pt idx="3">
                  <c:v>2351952.6316</c:v>
                </c:pt>
                <c:pt idx="4">
                  <c:v>2465253.8720519128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F-46DB-80D4-E30E3121F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Statewide!$C$27:$G$27</c:f>
              <c:numCache>
                <c:formatCode>0.000</c:formatCode>
                <c:ptCount val="5"/>
                <c:pt idx="0">
                  <c:v>0.94362859548770217</c:v>
                </c:pt>
                <c:pt idx="1">
                  <c:v>0.93669823514007144</c:v>
                </c:pt>
                <c:pt idx="2">
                  <c:v>0.84445304193076176</c:v>
                </c:pt>
                <c:pt idx="3">
                  <c:v>1.2507802623732835</c:v>
                </c:pt>
                <c:pt idx="4">
                  <c:v>1.1122315967039775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7-4C28-BE19-AF008E0F8FB8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Statewide!$C$51:$G$51</c:f>
              <c:numCache>
                <c:formatCode>0.000</c:formatCode>
                <c:ptCount val="5"/>
                <c:pt idx="0">
                  <c:v>0.96693433249271332</c:v>
                </c:pt>
                <c:pt idx="1">
                  <c:v>1.0603217155414608</c:v>
                </c:pt>
                <c:pt idx="2">
                  <c:v>2.4271899768569112</c:v>
                </c:pt>
                <c:pt idx="3">
                  <c:v>1.7571440020621634</c:v>
                </c:pt>
                <c:pt idx="4">
                  <c:v>1.5197280746880926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7-4C28-BE19-AF008E0F8FB8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Statewide!$C$60:$G$60</c:f>
              <c:numCache>
                <c:formatCode>0.000</c:formatCode>
                <c:ptCount val="5"/>
                <c:pt idx="0">
                  <c:v>0.94650595592915854</c:v>
                </c:pt>
                <c:pt idx="1">
                  <c:v>0.94888641584859423</c:v>
                </c:pt>
                <c:pt idx="2">
                  <c:v>1.0033468354787354</c:v>
                </c:pt>
                <c:pt idx="3">
                  <c:v>1.3063650846071453</c:v>
                </c:pt>
                <c:pt idx="4">
                  <c:v>1.1642620317640862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E7-4C28-BE19-AF008E0F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calcasieu!$C$23:$G$23</c:f>
              <c:numCache>
                <c:formatCode>#,##0</c:formatCode>
                <c:ptCount val="5"/>
                <c:pt idx="0">
                  <c:v>19110934.926449031</c:v>
                </c:pt>
                <c:pt idx="1">
                  <c:v>16463293.784642866</c:v>
                </c:pt>
                <c:pt idx="2">
                  <c:v>19748572.906910397</c:v>
                </c:pt>
                <c:pt idx="3">
                  <c:v>18998491.223182682</c:v>
                </c:pt>
                <c:pt idx="4">
                  <c:v>20735368.206814356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6-4011-A749-C03A4A3C2CEC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calcasieu!$C$47:$G$47</c:f>
              <c:numCache>
                <c:formatCode>#,##0</c:formatCode>
                <c:ptCount val="5"/>
                <c:pt idx="0">
                  <c:v>1934387.7118186839</c:v>
                </c:pt>
                <c:pt idx="1">
                  <c:v>2935896.7439776845</c:v>
                </c:pt>
                <c:pt idx="2">
                  <c:v>4166654.8692767788</c:v>
                </c:pt>
                <c:pt idx="3">
                  <c:v>6374967.6079518003</c:v>
                </c:pt>
                <c:pt idx="4">
                  <c:v>6682070.6201967103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E6-4011-A749-C03A4A3C2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calcasieu!$C$27:$G$27</c:f>
              <c:numCache>
                <c:formatCode>#,##0</c:formatCode>
                <c:ptCount val="5"/>
                <c:pt idx="0">
                  <c:v>6535915.3244454497</c:v>
                </c:pt>
                <c:pt idx="1">
                  <c:v>5630425.4371655853</c:v>
                </c:pt>
                <c:pt idx="2">
                  <c:v>6753986.6989744958</c:v>
                </c:pt>
                <c:pt idx="3">
                  <c:v>6497459.7216115557</c:v>
                </c:pt>
                <c:pt idx="4">
                  <c:v>7091469.4305915106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4-48A8-88EE-6BD131298F67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calcasieu!$C$51:$G$51</c:f>
              <c:numCache>
                <c:formatCode>#,##0</c:formatCode>
                <c:ptCount val="5"/>
                <c:pt idx="0">
                  <c:v>264878.13702817936</c:v>
                </c:pt>
                <c:pt idx="1">
                  <c:v>402016.02569154382</c:v>
                </c:pt>
                <c:pt idx="2">
                  <c:v>570545.280385277</c:v>
                </c:pt>
                <c:pt idx="3">
                  <c:v>872932.31511570851</c:v>
                </c:pt>
                <c:pt idx="4">
                  <c:v>914984.31599545688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4-48A8-88EE-6BD131298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lafayette!$C$58:$G$58</c:f>
              <c:numCache>
                <c:formatCode>#,##0</c:formatCode>
                <c:ptCount val="5"/>
                <c:pt idx="0">
                  <c:v>38621533.228793681</c:v>
                </c:pt>
                <c:pt idx="1">
                  <c:v>37245988.149996631</c:v>
                </c:pt>
                <c:pt idx="2">
                  <c:v>45526157.17356813</c:v>
                </c:pt>
                <c:pt idx="3">
                  <c:v>48897229.518700004</c:v>
                </c:pt>
                <c:pt idx="4">
                  <c:v>48267871.178607121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1-432D-9184-1CD797A3E440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lafayette!$C$59:$G$59</c:f>
              <c:numCache>
                <c:formatCode>#,##0</c:formatCode>
                <c:ptCount val="5"/>
                <c:pt idx="0">
                  <c:v>34628177.944105946</c:v>
                </c:pt>
                <c:pt idx="1">
                  <c:v>34015705.115909748</c:v>
                </c:pt>
                <c:pt idx="2">
                  <c:v>40527661.848586693</c:v>
                </c:pt>
                <c:pt idx="3">
                  <c:v>44186522.836751238</c:v>
                </c:pt>
                <c:pt idx="4">
                  <c:v>43581892.6680317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1-432D-9184-1CD797A3E440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lafayette!$C$60:$G$60</c:f>
              <c:numCache>
                <c:formatCode>#,##0</c:formatCode>
                <c:ptCount val="5"/>
                <c:pt idx="0">
                  <c:v>12031007.838558646</c:v>
                </c:pt>
                <c:pt idx="1">
                  <c:v>11622924.966876438</c:v>
                </c:pt>
                <c:pt idx="2">
                  <c:v>14172294.238168027</c:v>
                </c:pt>
                <c:pt idx="3">
                  <c:v>15243341.628353784</c:v>
                </c:pt>
                <c:pt idx="4">
                  <c:v>15045963.398492273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1-432D-9184-1CD797A3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Walking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lafayette!$C$19:$G$19</c:f>
              <c:numCache>
                <c:formatCode>#,##0</c:formatCode>
                <c:ptCount val="5"/>
                <c:pt idx="0">
                  <c:v>35223941.289250791</c:v>
                </c:pt>
                <c:pt idx="1">
                  <c:v>33657243.729903623</c:v>
                </c:pt>
                <c:pt idx="2">
                  <c:v>41667582.017019659</c:v>
                </c:pt>
                <c:pt idx="3">
                  <c:v>44422140.207800001</c:v>
                </c:pt>
                <c:pt idx="4">
                  <c:v>43868433.254016317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3-44FB-8C89-418D7B09024B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lafayette!$C$23:$G$23</c:f>
              <c:numCache>
                <c:formatCode>#,##0</c:formatCode>
                <c:ptCount val="5"/>
                <c:pt idx="0">
                  <c:v>25419004.991974939</c:v>
                </c:pt>
                <c:pt idx="1">
                  <c:v>24288413.365247648</c:v>
                </c:pt>
                <c:pt idx="2">
                  <c:v>30068993.886762064</c:v>
                </c:pt>
                <c:pt idx="3">
                  <c:v>32056793.259556789</c:v>
                </c:pt>
                <c:pt idx="4">
                  <c:v>31657216.173428334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3-44FB-8C89-418D7B09024B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lafayette!$C$27:$G$27</c:f>
              <c:numCache>
                <c:formatCode>#,##0</c:formatCode>
                <c:ptCount val="5"/>
                <c:pt idx="0">
                  <c:v>10769984.2287481</c:v>
                </c:pt>
                <c:pt idx="1">
                  <c:v>10290954.699746007</c:v>
                </c:pt>
                <c:pt idx="2">
                  <c:v>12740175.70856889</c:v>
                </c:pt>
                <c:pt idx="3">
                  <c:v>13582402.534586409</c:v>
                </c:pt>
                <c:pt idx="4">
                  <c:v>13413102.480664894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03-44FB-8C89-418D7B09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lafayette!$C$43:$G$43</c:f>
              <c:numCache>
                <c:formatCode>#,##0</c:formatCode>
                <c:ptCount val="5"/>
                <c:pt idx="0">
                  <c:v>3397591.9395428915</c:v>
                </c:pt>
                <c:pt idx="1">
                  <c:v>3588744.4200930079</c:v>
                </c:pt>
                <c:pt idx="2">
                  <c:v>3858575.1565484693</c:v>
                </c:pt>
                <c:pt idx="3">
                  <c:v>4475089.3108999999</c:v>
                </c:pt>
                <c:pt idx="4">
                  <c:v>4399437.9245908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9-4FB4-90C2-66B68D9E62B6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lafayette!$C$47:$G$47</c:f>
              <c:numCache>
                <c:formatCode>#,##0</c:formatCode>
                <c:ptCount val="5"/>
                <c:pt idx="0">
                  <c:v>9209172.9521310069</c:v>
                </c:pt>
                <c:pt idx="1">
                  <c:v>9727291.7506620977</c:v>
                </c:pt>
                <c:pt idx="2">
                  <c:v>10458667.961824626</c:v>
                </c:pt>
                <c:pt idx="3">
                  <c:v>12129729.57719445</c:v>
                </c:pt>
                <c:pt idx="4">
                  <c:v>11924676.494603364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9-4FB4-90C2-66B68D9E62B6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lafayette!$C$51:$G$51</c:f>
              <c:numCache>
                <c:formatCode>#,##0</c:formatCode>
                <c:ptCount val="5"/>
                <c:pt idx="0">
                  <c:v>1261023.6098105465</c:v>
                </c:pt>
                <c:pt idx="1">
                  <c:v>1331970.2671304301</c:v>
                </c:pt>
                <c:pt idx="2">
                  <c:v>1432118.5295991369</c:v>
                </c:pt>
                <c:pt idx="3">
                  <c:v>1660939.0937673752</c:v>
                </c:pt>
                <c:pt idx="4">
                  <c:v>1632860.9178273787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B9-4FB4-90C2-66B68D9E6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lafayette!$C$28:$G$28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3">
                  <c:v>10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0-4F68-9C4F-34B067B15D82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lafayette!$C$52:$G$52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0-4F68-9C4F-34B067B15D82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lafayette!$C$61:$G$61</c:f>
              <c:numCache>
                <c:formatCode>General</c:formatCode>
                <c:ptCount val="5"/>
                <c:pt idx="0">
                  <c:v>7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40-4F68-9C4F-34B067B15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lafayette!$C$29:$G$29</c:f>
              <c:numCache>
                <c:formatCode>0.000</c:formatCode>
                <c:ptCount val="5"/>
                <c:pt idx="0">
                  <c:v>0.64995452651778651</c:v>
                </c:pt>
                <c:pt idx="1">
                  <c:v>1.0688998563244567</c:v>
                </c:pt>
                <c:pt idx="2">
                  <c:v>0.62793482468372053</c:v>
                </c:pt>
                <c:pt idx="3">
                  <c:v>0.73624677037334652</c:v>
                </c:pt>
                <c:pt idx="4">
                  <c:v>0.44732380212922795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B-4204-B4CF-F924D42B02E7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lafayette!$C$53:$G$53</c:f>
              <c:numCache>
                <c:formatCode>0.000</c:formatCode>
                <c:ptCount val="5"/>
                <c:pt idx="0">
                  <c:v>0</c:v>
                </c:pt>
                <c:pt idx="1">
                  <c:v>3.7538375468184433</c:v>
                </c:pt>
                <c:pt idx="2">
                  <c:v>3.4913311270398446</c:v>
                </c:pt>
                <c:pt idx="3">
                  <c:v>1.2041380731568911</c:v>
                </c:pt>
                <c:pt idx="4">
                  <c:v>1.2248440624453933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B-4204-B4CF-F924D42B02E7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lafayette!$C$62:$G$62</c:f>
              <c:numCache>
                <c:formatCode>0.000</c:formatCode>
                <c:ptCount val="5"/>
                <c:pt idx="0">
                  <c:v>0.58182989271816676</c:v>
                </c:pt>
                <c:pt idx="1">
                  <c:v>1.3765898038228379</c:v>
                </c:pt>
                <c:pt idx="2">
                  <c:v>0.91728267713981904</c:v>
                </c:pt>
                <c:pt idx="3">
                  <c:v>0.78722896150795962</c:v>
                </c:pt>
                <c:pt idx="4">
                  <c:v>0.53170407159183075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EB-4204-B4CF-F924D42B0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lafayette!$C$19:$G$19</c:f>
              <c:numCache>
                <c:formatCode>#,##0</c:formatCode>
                <c:ptCount val="5"/>
                <c:pt idx="0">
                  <c:v>35223941.289250791</c:v>
                </c:pt>
                <c:pt idx="1">
                  <c:v>33657243.729903623</c:v>
                </c:pt>
                <c:pt idx="2">
                  <c:v>41667582.017019659</c:v>
                </c:pt>
                <c:pt idx="3">
                  <c:v>44422140.207800001</c:v>
                </c:pt>
                <c:pt idx="4">
                  <c:v>43868433.254016317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C-4DDD-93C6-1E5A0EED23E5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lafayette!$C$43:$G$43</c:f>
              <c:numCache>
                <c:formatCode>#,##0</c:formatCode>
                <c:ptCount val="5"/>
                <c:pt idx="0">
                  <c:v>3397591.9395428915</c:v>
                </c:pt>
                <c:pt idx="1">
                  <c:v>3588744.4200930079</c:v>
                </c:pt>
                <c:pt idx="2">
                  <c:v>3858575.1565484693</c:v>
                </c:pt>
                <c:pt idx="3">
                  <c:v>4475089.3108999999</c:v>
                </c:pt>
                <c:pt idx="4">
                  <c:v>4399437.9245908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C-4DDD-93C6-1E5A0EED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lafayette!$C$23:$G$23</c:f>
              <c:numCache>
                <c:formatCode>#,##0</c:formatCode>
                <c:ptCount val="5"/>
                <c:pt idx="0">
                  <c:v>25419004.991974939</c:v>
                </c:pt>
                <c:pt idx="1">
                  <c:v>24288413.365247648</c:v>
                </c:pt>
                <c:pt idx="2">
                  <c:v>30068993.886762064</c:v>
                </c:pt>
                <c:pt idx="3">
                  <c:v>32056793.259556789</c:v>
                </c:pt>
                <c:pt idx="4">
                  <c:v>31657216.173428334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7-4959-AB6F-099D18B97996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lafayette!$C$47:$G$47</c:f>
              <c:numCache>
                <c:formatCode>#,##0</c:formatCode>
                <c:ptCount val="5"/>
                <c:pt idx="0">
                  <c:v>9209172.9521310069</c:v>
                </c:pt>
                <c:pt idx="1">
                  <c:v>9727291.7506620977</c:v>
                </c:pt>
                <c:pt idx="2">
                  <c:v>10458667.961824626</c:v>
                </c:pt>
                <c:pt idx="3">
                  <c:v>12129729.57719445</c:v>
                </c:pt>
                <c:pt idx="4">
                  <c:v>11924676.494603364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7-4959-AB6F-099D18B97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lafayette!$C$27:$G$27</c:f>
              <c:numCache>
                <c:formatCode>#,##0</c:formatCode>
                <c:ptCount val="5"/>
                <c:pt idx="0">
                  <c:v>10769984.2287481</c:v>
                </c:pt>
                <c:pt idx="1">
                  <c:v>10290954.699746007</c:v>
                </c:pt>
                <c:pt idx="2">
                  <c:v>12740175.70856889</c:v>
                </c:pt>
                <c:pt idx="3">
                  <c:v>13582402.534586409</c:v>
                </c:pt>
                <c:pt idx="4">
                  <c:v>13413102.480664894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D-404A-A95A-1B6AC9863E4C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lafayette!$C$51:$G$51</c:f>
              <c:numCache>
                <c:formatCode>#,##0</c:formatCode>
                <c:ptCount val="5"/>
                <c:pt idx="0">
                  <c:v>1261023.6098105465</c:v>
                </c:pt>
                <c:pt idx="1">
                  <c:v>1331970.2671304301</c:v>
                </c:pt>
                <c:pt idx="2">
                  <c:v>1432118.5295991369</c:v>
                </c:pt>
                <c:pt idx="3">
                  <c:v>1660939.0937673752</c:v>
                </c:pt>
                <c:pt idx="4">
                  <c:v>1632860.9178273787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D-404A-A95A-1B6AC9863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Statewide!$C$17:$G$17</c:f>
              <c:numCache>
                <c:formatCode>#,##0</c:formatCode>
                <c:ptCount val="5"/>
                <c:pt idx="0">
                  <c:v>420194985.94703841</c:v>
                </c:pt>
                <c:pt idx="1">
                  <c:v>458215548.40678859</c:v>
                </c:pt>
                <c:pt idx="2">
                  <c:v>513110126.17286628</c:v>
                </c:pt>
                <c:pt idx="3">
                  <c:v>415052396.98009998</c:v>
                </c:pt>
                <c:pt idx="4">
                  <c:v>422651910.58876532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8-4752-BD58-59EE3F2BCAA2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Statewide!$C$41:$G$41</c:f>
              <c:numCache>
                <c:formatCode>#,##0</c:formatCode>
                <c:ptCount val="5"/>
                <c:pt idx="0">
                  <c:v>47367128.095197648</c:v>
                </c:pt>
                <c:pt idx="1">
                  <c:v>40109910.733534642</c:v>
                </c:pt>
                <c:pt idx="2">
                  <c:v>45826970.282513574</c:v>
                </c:pt>
                <c:pt idx="3">
                  <c:v>40960129.917300001</c:v>
                </c:pt>
                <c:pt idx="4">
                  <c:v>49511712.581176229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8-4752-BD58-59EE3F2BC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NLCOG!$C$58:$G$58</c:f>
              <c:numCache>
                <c:formatCode>#,##0</c:formatCode>
                <c:ptCount val="5"/>
                <c:pt idx="0">
                  <c:v>64893418.80262965</c:v>
                </c:pt>
                <c:pt idx="1">
                  <c:v>67331971.823288411</c:v>
                </c:pt>
                <c:pt idx="2">
                  <c:v>53030641.277674377</c:v>
                </c:pt>
                <c:pt idx="3">
                  <c:v>52926431.380350001</c:v>
                </c:pt>
                <c:pt idx="4">
                  <c:v>50825270.799916349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6-404B-9B18-0E9E3763C8E7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NLCOG!$C$59:$G$59</c:f>
              <c:numCache>
                <c:formatCode>#,##0</c:formatCode>
                <c:ptCount val="5"/>
                <c:pt idx="0">
                  <c:v>59540619.5948079</c:v>
                </c:pt>
                <c:pt idx="1">
                  <c:v>61964598.675213903</c:v>
                </c:pt>
                <c:pt idx="2">
                  <c:v>49735331.667492718</c:v>
                </c:pt>
                <c:pt idx="3">
                  <c:v>48923267.136282288</c:v>
                </c:pt>
                <c:pt idx="4">
                  <c:v>49588063.557701647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6-404B-9B18-0E9E3763C8E7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NLCOG!$C$60:$G$60</c:f>
              <c:numCache>
                <c:formatCode>#,##0</c:formatCode>
                <c:ptCount val="5"/>
                <c:pt idx="0">
                  <c:v>18973442.167081818</c:v>
                </c:pt>
                <c:pt idx="1">
                  <c:v>19698717.142653774</c:v>
                </c:pt>
                <c:pt idx="2">
                  <c:v>15576121.276911102</c:v>
                </c:pt>
                <c:pt idx="3">
                  <c:v>15498441.124511316</c:v>
                </c:pt>
                <c:pt idx="4">
                  <c:v>15054952.242229946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6-404B-9B18-0E9E3763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Walking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NLCOG!$C$19:$G$19</c:f>
              <c:numCache>
                <c:formatCode>#,##0</c:formatCode>
                <c:ptCount val="5"/>
                <c:pt idx="0">
                  <c:v>61399321.159182638</c:v>
                </c:pt>
                <c:pt idx="1">
                  <c:v>63577024.627605729</c:v>
                </c:pt>
                <c:pt idx="2">
                  <c:v>49426077.9875874</c:v>
                </c:pt>
                <c:pt idx="3">
                  <c:v>49824955.464500003</c:v>
                </c:pt>
                <c:pt idx="4">
                  <c:v>46036696.64277108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D-43DF-8E26-8F50028D426E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NLCOG!$C$23:$G$23</c:f>
              <c:numCache>
                <c:formatCode>#,##0</c:formatCode>
                <c:ptCount val="5"/>
                <c:pt idx="0">
                  <c:v>51573587.794078641</c:v>
                </c:pt>
                <c:pt idx="1">
                  <c:v>53402793.376449987</c:v>
                </c:pt>
                <c:pt idx="2">
                  <c:v>41516422.72723379</c:v>
                </c:pt>
                <c:pt idx="3">
                  <c:v>41851467.84151607</c:v>
                </c:pt>
                <c:pt idx="4">
                  <c:v>38669444.079028428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D-43DF-8E26-8F50028D426E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NLCOG!$C$27:$G$27</c:f>
              <c:numCache>
                <c:formatCode>#,##0</c:formatCode>
                <c:ptCount val="5"/>
                <c:pt idx="0">
                  <c:v>17638101.123636853</c:v>
                </c:pt>
                <c:pt idx="1">
                  <c:v>18263687.095406126</c:v>
                </c:pt>
                <c:pt idx="2">
                  <c:v>14198563.522056917</c:v>
                </c:pt>
                <c:pt idx="3">
                  <c:v>14313148.523012964</c:v>
                </c:pt>
                <c:pt idx="4">
                  <c:v>13224900.462306658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D-43DF-8E26-8F50028D4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NLCOG!$C$43:$G$43</c:f>
              <c:numCache>
                <c:formatCode>#,##0</c:formatCode>
                <c:ptCount val="5"/>
                <c:pt idx="0">
                  <c:v>3494097.643447008</c:v>
                </c:pt>
                <c:pt idx="1">
                  <c:v>3754947.195682683</c:v>
                </c:pt>
                <c:pt idx="2">
                  <c:v>3604563.2900869795</c:v>
                </c:pt>
                <c:pt idx="3">
                  <c:v>3101475.91585</c:v>
                </c:pt>
                <c:pt idx="4">
                  <c:v>4788574.157145272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8-4B0C-8A8F-A5FFFE508C5C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NLCOG!$C$47:$G$47</c:f>
              <c:numCache>
                <c:formatCode>#,##0</c:formatCode>
                <c:ptCount val="5"/>
                <c:pt idx="0">
                  <c:v>7967031.8007292598</c:v>
                </c:pt>
                <c:pt idx="1">
                  <c:v>8561805.2987639122</c:v>
                </c:pt>
                <c:pt idx="2">
                  <c:v>8218908.9402589248</c:v>
                </c:pt>
                <c:pt idx="3">
                  <c:v>7071799.2947662184</c:v>
                </c:pt>
                <c:pt idx="4">
                  <c:v>10918619.47867322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8-4B0C-8A8F-A5FFFE508C5C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NLCOG!$C$51:$G$51</c:f>
              <c:numCache>
                <c:formatCode>#,##0</c:formatCode>
                <c:ptCount val="5"/>
                <c:pt idx="0">
                  <c:v>1335341.0434449648</c:v>
                </c:pt>
                <c:pt idx="1">
                  <c:v>1435030.0472476489</c:v>
                </c:pt>
                <c:pt idx="2">
                  <c:v>1377557.7548541862</c:v>
                </c:pt>
                <c:pt idx="3">
                  <c:v>1185292.6014983526</c:v>
                </c:pt>
                <c:pt idx="4">
                  <c:v>1830051.7799232872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8-4B0C-8A8F-A5FFFE508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NLCOG!$C$28:$G$28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8-4479-9423-E8D8CF58C5AD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NLCOG!$C$52:$G$52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8-4479-9423-E8D8CF58C5AD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NLCOG!$C$61:$G$61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B8-4479-9423-E8D8CF58C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NLCOG!$C$29:$G$29</c:f>
              <c:numCache>
                <c:formatCode>0.000</c:formatCode>
                <c:ptCount val="5"/>
                <c:pt idx="0">
                  <c:v>0.28347722722257729</c:v>
                </c:pt>
                <c:pt idx="1">
                  <c:v>0.54753456669301481</c:v>
                </c:pt>
                <c:pt idx="2">
                  <c:v>0.70429659905140318</c:v>
                </c:pt>
                <c:pt idx="3">
                  <c:v>0.83838995876456968</c:v>
                </c:pt>
                <c:pt idx="4">
                  <c:v>0.68053442259558905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2-41EE-AF0B-0C53320ECBB9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NLCOG!$C$53:$G$53</c:f>
              <c:numCache>
                <c:formatCode>0.000</c:formatCode>
                <c:ptCount val="5"/>
                <c:pt idx="0">
                  <c:v>1.4977447220826239</c:v>
                </c:pt>
                <c:pt idx="1">
                  <c:v>0.69684952027170055</c:v>
                </c:pt>
                <c:pt idx="2">
                  <c:v>0.72592237710269325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2-41EE-AF0B-0C53320ECBB9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NLCOG!$C$62:$G$62</c:f>
              <c:numCache>
                <c:formatCode>0.000</c:formatCode>
                <c:ptCount val="5"/>
                <c:pt idx="0">
                  <c:v>0.36893674528624687</c:v>
                </c:pt>
                <c:pt idx="1">
                  <c:v>0.55841199811847753</c:v>
                </c:pt>
                <c:pt idx="2">
                  <c:v>0.70620919062216037</c:v>
                </c:pt>
                <c:pt idx="3">
                  <c:v>0.77427141888622519</c:v>
                </c:pt>
                <c:pt idx="4">
                  <c:v>0.59780993358149082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2-41EE-AF0B-0C53320EC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NLCOG!$C$19:$G$19</c:f>
              <c:numCache>
                <c:formatCode>#,##0</c:formatCode>
                <c:ptCount val="5"/>
                <c:pt idx="0">
                  <c:v>61399321.159182638</c:v>
                </c:pt>
                <c:pt idx="1">
                  <c:v>63577024.627605729</c:v>
                </c:pt>
                <c:pt idx="2">
                  <c:v>49426077.9875874</c:v>
                </c:pt>
                <c:pt idx="3">
                  <c:v>49824955.464500003</c:v>
                </c:pt>
                <c:pt idx="4">
                  <c:v>46036696.64277108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7-4416-A012-E0A9A7A25CEB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NLCOG!$C$43:$G$43</c:f>
              <c:numCache>
                <c:formatCode>#,##0</c:formatCode>
                <c:ptCount val="5"/>
                <c:pt idx="0">
                  <c:v>3494097.643447008</c:v>
                </c:pt>
                <c:pt idx="1">
                  <c:v>3754947.195682683</c:v>
                </c:pt>
                <c:pt idx="2">
                  <c:v>3604563.2900869795</c:v>
                </c:pt>
                <c:pt idx="3">
                  <c:v>3101475.91585</c:v>
                </c:pt>
                <c:pt idx="4">
                  <c:v>4788574.157145272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27-4416-A012-E0A9A7A25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NLCOG!$C$23:$G$23</c:f>
              <c:numCache>
                <c:formatCode>#,##0</c:formatCode>
                <c:ptCount val="5"/>
                <c:pt idx="0">
                  <c:v>51573587.794078641</c:v>
                </c:pt>
                <c:pt idx="1">
                  <c:v>53402793.376449987</c:v>
                </c:pt>
                <c:pt idx="2">
                  <c:v>41516422.72723379</c:v>
                </c:pt>
                <c:pt idx="3">
                  <c:v>41851467.84151607</c:v>
                </c:pt>
                <c:pt idx="4">
                  <c:v>38669444.079028428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D-4116-9925-8AB21EC14C5F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NLCOG!$C$47:$G$47</c:f>
              <c:numCache>
                <c:formatCode>#,##0</c:formatCode>
                <c:ptCount val="5"/>
                <c:pt idx="0">
                  <c:v>7967031.8007292598</c:v>
                </c:pt>
                <c:pt idx="1">
                  <c:v>8561805.2987639122</c:v>
                </c:pt>
                <c:pt idx="2">
                  <c:v>8218908.9402589248</c:v>
                </c:pt>
                <c:pt idx="3">
                  <c:v>7071799.2947662184</c:v>
                </c:pt>
                <c:pt idx="4">
                  <c:v>10918619.47867322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D-4116-9925-8AB21EC14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NLCOG!$C$27:$G$27</c:f>
              <c:numCache>
                <c:formatCode>#,##0</c:formatCode>
                <c:ptCount val="5"/>
                <c:pt idx="0">
                  <c:v>17638101.123636853</c:v>
                </c:pt>
                <c:pt idx="1">
                  <c:v>18263687.095406126</c:v>
                </c:pt>
                <c:pt idx="2">
                  <c:v>14198563.522056917</c:v>
                </c:pt>
                <c:pt idx="3">
                  <c:v>14313148.523012964</c:v>
                </c:pt>
                <c:pt idx="4">
                  <c:v>13224900.462306658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8-4F1D-BFB5-28487DE1EB01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NLCOG!$C$51:$G$51</c:f>
              <c:numCache>
                <c:formatCode>#,##0</c:formatCode>
                <c:ptCount val="5"/>
                <c:pt idx="0">
                  <c:v>1335341.0434449648</c:v>
                </c:pt>
                <c:pt idx="1">
                  <c:v>1435030.0472476489</c:v>
                </c:pt>
                <c:pt idx="2">
                  <c:v>1377557.7548541862</c:v>
                </c:pt>
                <c:pt idx="3">
                  <c:v>1185292.6014983526</c:v>
                </c:pt>
                <c:pt idx="4">
                  <c:v>1830051.7799232872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48-4F1D-BFB5-28487DE1E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69231531112"/>
          <c:y val="0.176368421824366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Ouichita!$C$58:$G$58</c:f>
              <c:numCache>
                <c:formatCode>#,##0</c:formatCode>
                <c:ptCount val="5"/>
                <c:pt idx="0">
                  <c:v>14410040.228445537</c:v>
                </c:pt>
                <c:pt idx="1">
                  <c:v>12698999.829778705</c:v>
                </c:pt>
                <c:pt idx="2">
                  <c:v>11440412.193697343</c:v>
                </c:pt>
                <c:pt idx="3">
                  <c:v>12089448.590400001</c:v>
                </c:pt>
                <c:pt idx="4">
                  <c:v>13166189.839436341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2-411D-98E4-CB3E8EC2DF4A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Ouichita!$C$59:$G$59</c:f>
              <c:numCache>
                <c:formatCode>#,##0</c:formatCode>
                <c:ptCount val="5"/>
                <c:pt idx="0">
                  <c:v>14547743.234461706</c:v>
                </c:pt>
                <c:pt idx="1">
                  <c:v>12788025.177685838</c:v>
                </c:pt>
                <c:pt idx="2">
                  <c:v>12282808.386097895</c:v>
                </c:pt>
                <c:pt idx="3">
                  <c:v>11952305.415825516</c:v>
                </c:pt>
                <c:pt idx="4">
                  <c:v>13294364.699622823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2-411D-98E4-CB3E8EC2DF4A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Ouichita!$C$60:$G$60</c:f>
              <c:numCache>
                <c:formatCode>#,##0</c:formatCode>
                <c:ptCount val="5"/>
                <c:pt idx="0">
                  <c:v>4225089.0073944014</c:v>
                </c:pt>
                <c:pt idx="1">
                  <c:v>3721140.699243404</c:v>
                </c:pt>
                <c:pt idx="2">
                  <c:v>3405710.0850628461</c:v>
                </c:pt>
                <c:pt idx="3">
                  <c:v>3526989.1113156471</c:v>
                </c:pt>
                <c:pt idx="4">
                  <c:v>3860551.5610831142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2-411D-98E4-CB3E8EC2D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Walking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Ouichita!$C$19:$G$19</c:f>
              <c:numCache>
                <c:formatCode>#,##0</c:formatCode>
                <c:ptCount val="5"/>
                <c:pt idx="0">
                  <c:v>13151246.869721375</c:v>
                </c:pt>
                <c:pt idx="1">
                  <c:v>11612894.910347492</c:v>
                </c:pt>
                <c:pt idx="2">
                  <c:v>9914475.7026570626</c:v>
                </c:pt>
                <c:pt idx="3">
                  <c:v>11214861.2937</c:v>
                </c:pt>
                <c:pt idx="4">
                  <c:v>12014359.57539833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8-4D91-81E6-E8F497A09696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Ouichita!$C$23:$G$23</c:f>
              <c:numCache>
                <c:formatCode>#,##0</c:formatCode>
                <c:ptCount val="5"/>
                <c:pt idx="0">
                  <c:v>11677518.145500397</c:v>
                </c:pt>
                <c:pt idx="1">
                  <c:v>10311553.90669395</c:v>
                </c:pt>
                <c:pt idx="2">
                  <c:v>8803459.5554173123</c:v>
                </c:pt>
                <c:pt idx="3">
                  <c:v>9958123.9371279776</c:v>
                </c:pt>
                <c:pt idx="4">
                  <c:v>10668030.441379191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8-4D91-81E6-E8F497A09696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Ouichita!$C$27:$G$27</c:f>
              <c:numCache>
                <c:formatCode>#,##0</c:formatCode>
                <c:ptCount val="5"/>
                <c:pt idx="0">
                  <c:v>3744015.320094109</c:v>
                </c:pt>
                <c:pt idx="1">
                  <c:v>3306063.4391319174</c:v>
                </c:pt>
                <c:pt idx="2">
                  <c:v>2822542.1733137369</c:v>
                </c:pt>
                <c:pt idx="3">
                  <c:v>3192747.6468421598</c:v>
                </c:pt>
                <c:pt idx="4">
                  <c:v>3420356.0131605752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B8-4D91-81E6-E8F497A09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Statewide!$C$21:$G$21</c:f>
              <c:numCache>
                <c:formatCode>#,##0</c:formatCode>
                <c:ptCount val="5"/>
                <c:pt idx="0">
                  <c:v>403151877.3170265</c:v>
                </c:pt>
                <c:pt idx="1">
                  <c:v>439630325.7634092</c:v>
                </c:pt>
                <c:pt idx="2">
                  <c:v>492298379.45529479</c:v>
                </c:pt>
                <c:pt idx="3">
                  <c:v>398217871.75858712</c:v>
                </c:pt>
                <c:pt idx="4">
                  <c:v>405509149.095285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F-44C7-8F63-DF3A310E2ED5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Statewide!$C$45:$G$45</c:f>
              <c:numCache>
                <c:formatCode>#,##0</c:formatCode>
                <c:ptCount val="5"/>
                <c:pt idx="0">
                  <c:v>73861457.523965493</c:v>
                </c:pt>
                <c:pt idx="1">
                  <c:v>62544988.203229904</c:v>
                </c:pt>
                <c:pt idx="2">
                  <c:v>71459827.840334713</c:v>
                </c:pt>
                <c:pt idx="3">
                  <c:v>63870768.985242583</c:v>
                </c:pt>
                <c:pt idx="4">
                  <c:v>77205593.89633134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F-44C7-8F63-DF3A310E2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Ouichita!$C$43:$G$43</c:f>
              <c:numCache>
                <c:formatCode>#,##0</c:formatCode>
                <c:ptCount val="5"/>
                <c:pt idx="0">
                  <c:v>1258793.3587241611</c:v>
                </c:pt>
                <c:pt idx="1">
                  <c:v>1086104.9194312135</c:v>
                </c:pt>
                <c:pt idx="2">
                  <c:v>1525936.4910402796</c:v>
                </c:pt>
                <c:pt idx="3">
                  <c:v>874587.29669999995</c:v>
                </c:pt>
                <c:pt idx="4">
                  <c:v>1151830.2640380119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8-40D0-9EC3-9DB59229C747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Ouichita!$C$47:$G$47</c:f>
              <c:numCache>
                <c:formatCode>#,##0</c:formatCode>
                <c:ptCount val="5"/>
                <c:pt idx="0">
                  <c:v>2870225.0889613084</c:v>
                </c:pt>
                <c:pt idx="1">
                  <c:v>2476471.270991887</c:v>
                </c:pt>
                <c:pt idx="2">
                  <c:v>3479348.8306805831</c:v>
                </c:pt>
                <c:pt idx="3">
                  <c:v>1994181.4786975377</c:v>
                </c:pt>
                <c:pt idx="4">
                  <c:v>2626334.258243632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8-40D0-9EC3-9DB59229C747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Ouichita!$C$51:$G$51</c:f>
              <c:numCache>
                <c:formatCode>#,##0</c:formatCode>
                <c:ptCount val="5"/>
                <c:pt idx="0">
                  <c:v>481073.68730029202</c:v>
                </c:pt>
                <c:pt idx="1">
                  <c:v>415077.2601114866</c:v>
                </c:pt>
                <c:pt idx="2">
                  <c:v>583167.91174910928</c:v>
                </c:pt>
                <c:pt idx="3">
                  <c:v>334241.46447348734</c:v>
                </c:pt>
                <c:pt idx="4">
                  <c:v>440195.54792253906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B8-40D0-9EC3-9DB59229C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Ouichita!$C$28:$G$28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F-463A-B37A-6F95F9B71BB0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Ouichita!$C$52:$G$52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F-463A-B37A-6F95F9B71BB0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Ouichita!$C$61:$G$61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7F-463A-B37A-6F95F9B71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Ouichita!$C$29:$G$29</c:f>
              <c:numCache>
                <c:formatCode>0.000</c:formatCode>
                <c:ptCount val="5"/>
                <c:pt idx="0">
                  <c:v>0.80127877252505275</c:v>
                </c:pt>
                <c:pt idx="1">
                  <c:v>1.2098981382675136</c:v>
                </c:pt>
                <c:pt idx="2">
                  <c:v>1.0628716298250818</c:v>
                </c:pt>
                <c:pt idx="3">
                  <c:v>0.62641969276154141</c:v>
                </c:pt>
                <c:pt idx="4">
                  <c:v>1.7542033568767914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F-4BED-9787-4DDCBA290183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Ouichita!$C$53:$G$53</c:f>
              <c:numCache>
                <c:formatCode>0.000</c:formatCode>
                <c:ptCount val="5"/>
                <c:pt idx="0">
                  <c:v>2.0786836328792764</c:v>
                </c:pt>
                <c:pt idx="1">
                  <c:v>0</c:v>
                </c:pt>
                <c:pt idx="2">
                  <c:v>3.4295439781680592</c:v>
                </c:pt>
                <c:pt idx="3">
                  <c:v>2.9918490261980102</c:v>
                </c:pt>
                <c:pt idx="4">
                  <c:v>2.2717176598432327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F-4BED-9787-4DDCBA290183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Ouichita!$C$62:$G$62</c:f>
              <c:numCache>
                <c:formatCode>0.000</c:formatCode>
                <c:ptCount val="5"/>
                <c:pt idx="0">
                  <c:v>0.94672561761409779</c:v>
                </c:pt>
                <c:pt idx="1">
                  <c:v>1.0749391982983321</c:v>
                </c:pt>
                <c:pt idx="2">
                  <c:v>1.4681226161702881</c:v>
                </c:pt>
                <c:pt idx="3">
                  <c:v>0.85058385646133494</c:v>
                </c:pt>
                <c:pt idx="4">
                  <c:v>1.813212409999799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F-4BED-9787-4DDCBA290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Ouichita!$C$19:$G$19</c:f>
              <c:numCache>
                <c:formatCode>#,##0</c:formatCode>
                <c:ptCount val="5"/>
                <c:pt idx="0">
                  <c:v>13151246.869721375</c:v>
                </c:pt>
                <c:pt idx="1">
                  <c:v>11612894.910347492</c:v>
                </c:pt>
                <c:pt idx="2">
                  <c:v>9914475.7026570626</c:v>
                </c:pt>
                <c:pt idx="3">
                  <c:v>11214861.2937</c:v>
                </c:pt>
                <c:pt idx="4">
                  <c:v>12014359.57539833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D-41BB-B90E-E4DC48AB9E24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Ouichita!$C$43:$G$43</c:f>
              <c:numCache>
                <c:formatCode>#,##0</c:formatCode>
                <c:ptCount val="5"/>
                <c:pt idx="0">
                  <c:v>1258793.3587241611</c:v>
                </c:pt>
                <c:pt idx="1">
                  <c:v>1086104.9194312135</c:v>
                </c:pt>
                <c:pt idx="2">
                  <c:v>1525936.4910402796</c:v>
                </c:pt>
                <c:pt idx="3">
                  <c:v>874587.29669999995</c:v>
                </c:pt>
                <c:pt idx="4">
                  <c:v>1151830.2640380119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D-41BB-B90E-E4DC48AB9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Ouichita!$C$23:$G$23</c:f>
              <c:numCache>
                <c:formatCode>#,##0</c:formatCode>
                <c:ptCount val="5"/>
                <c:pt idx="0">
                  <c:v>11677518.145500397</c:v>
                </c:pt>
                <c:pt idx="1">
                  <c:v>10311553.90669395</c:v>
                </c:pt>
                <c:pt idx="2">
                  <c:v>8803459.5554173123</c:v>
                </c:pt>
                <c:pt idx="3">
                  <c:v>9958123.9371279776</c:v>
                </c:pt>
                <c:pt idx="4">
                  <c:v>10668030.441379191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1-47BD-819F-ED9222C2DC77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Ouichita!$C$47:$G$47</c:f>
              <c:numCache>
                <c:formatCode>#,##0</c:formatCode>
                <c:ptCount val="5"/>
                <c:pt idx="0">
                  <c:v>2870225.0889613084</c:v>
                </c:pt>
                <c:pt idx="1">
                  <c:v>2476471.270991887</c:v>
                </c:pt>
                <c:pt idx="2">
                  <c:v>3479348.8306805831</c:v>
                </c:pt>
                <c:pt idx="3">
                  <c:v>1994181.4786975377</c:v>
                </c:pt>
                <c:pt idx="4">
                  <c:v>2626334.258243632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1-47BD-819F-ED9222C2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Ouichita!$C$27:$G$27</c:f>
              <c:numCache>
                <c:formatCode>#,##0</c:formatCode>
                <c:ptCount val="5"/>
                <c:pt idx="0">
                  <c:v>3744015.320094109</c:v>
                </c:pt>
                <c:pt idx="1">
                  <c:v>3306063.4391319174</c:v>
                </c:pt>
                <c:pt idx="2">
                  <c:v>2822542.1733137369</c:v>
                </c:pt>
                <c:pt idx="3">
                  <c:v>3192747.6468421598</c:v>
                </c:pt>
                <c:pt idx="4">
                  <c:v>3420356.0131605752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4-439B-836E-C4D5F129D07D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Ouichita!$C$51:$G$51</c:f>
              <c:numCache>
                <c:formatCode>#,##0</c:formatCode>
                <c:ptCount val="5"/>
                <c:pt idx="0">
                  <c:v>481073.68730029202</c:v>
                </c:pt>
                <c:pt idx="1">
                  <c:v>415077.2601114866</c:v>
                </c:pt>
                <c:pt idx="2">
                  <c:v>583167.91174910928</c:v>
                </c:pt>
                <c:pt idx="3">
                  <c:v>334241.46447348734</c:v>
                </c:pt>
                <c:pt idx="4">
                  <c:v>440195.54792253906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4-439B-836E-C4D5F129D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NORPC!$C$58:$G$58</c:f>
              <c:numCache>
                <c:formatCode>#,##0</c:formatCode>
                <c:ptCount val="5"/>
                <c:pt idx="0">
                  <c:v>201855871.95800301</c:v>
                </c:pt>
                <c:pt idx="1">
                  <c:v>209248643.07830563</c:v>
                </c:pt>
                <c:pt idx="2">
                  <c:v>214917054.12045908</c:v>
                </c:pt>
                <c:pt idx="3">
                  <c:v>211708897.60135001</c:v>
                </c:pt>
                <c:pt idx="4">
                  <c:v>220027911.68461546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3-4C22-BE74-687B97C64561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NORPC!$C$59:$G$59</c:f>
              <c:numCache>
                <c:formatCode>#,##0</c:formatCode>
                <c:ptCount val="5"/>
                <c:pt idx="0">
                  <c:v>176938360.89906806</c:v>
                </c:pt>
                <c:pt idx="1">
                  <c:v>187547577.28626254</c:v>
                </c:pt>
                <c:pt idx="2">
                  <c:v>197155669.73802662</c:v>
                </c:pt>
                <c:pt idx="3">
                  <c:v>195609357.79338181</c:v>
                </c:pt>
                <c:pt idx="4">
                  <c:v>203415624.60621887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3-4C22-BE74-687B97C64561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NORPC!$C$60:$G$60</c:f>
              <c:numCache>
                <c:formatCode>#,##0</c:formatCode>
                <c:ptCount val="5"/>
                <c:pt idx="0">
                  <c:v>59555512.671367131</c:v>
                </c:pt>
                <c:pt idx="1">
                  <c:v>61952496.485014558</c:v>
                </c:pt>
                <c:pt idx="2">
                  <c:v>63867402.676394999</c:v>
                </c:pt>
                <c:pt idx="3">
                  <c:v>62987032.866323248</c:v>
                </c:pt>
                <c:pt idx="4">
                  <c:v>65468348.368300617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63-4C22-BE74-687B97C64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Walking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NORPC!$C$19:$G$19</c:f>
              <c:numCache>
                <c:formatCode>#,##0</c:formatCode>
                <c:ptCount val="5"/>
                <c:pt idx="0">
                  <c:v>182411716.67331329</c:v>
                </c:pt>
                <c:pt idx="1">
                  <c:v>187034837.99505815</c:v>
                </c:pt>
                <c:pt idx="2">
                  <c:v>189845376.21184734</c:v>
                </c:pt>
                <c:pt idx="3">
                  <c:v>186315481.49540001</c:v>
                </c:pt>
                <c:pt idx="4">
                  <c:v>193576935.7739794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B-45FA-AC81-AD2E6C26EE46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NORPC!$C$23:$G$23</c:f>
              <c:numCache>
                <c:formatCode>#,##0</c:formatCode>
                <c:ptCount val="5"/>
                <c:pt idx="0">
                  <c:v>124632805.41704132</c:v>
                </c:pt>
                <c:pt idx="1">
                  <c:v>127791553.06012349</c:v>
                </c:pt>
                <c:pt idx="2">
                  <c:v>129711853.29674469</c:v>
                </c:pt>
                <c:pt idx="3">
                  <c:v>127300052.73173206</c:v>
                </c:pt>
                <c:pt idx="4">
                  <c:v>132261441.36757143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B-45FA-AC81-AD2E6C26EE46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NORPC!$C$27:$G$27</c:f>
              <c:numCache>
                <c:formatCode>#,##0</c:formatCode>
                <c:ptCount val="5"/>
                <c:pt idx="0">
                  <c:v>51975604.098121636</c:v>
                </c:pt>
                <c:pt idx="1">
                  <c:v>53292896.254013889</c:v>
                </c:pt>
                <c:pt idx="2">
                  <c:v>54093718.834506854</c:v>
                </c:pt>
                <c:pt idx="3">
                  <c:v>53087925.930212796</c:v>
                </c:pt>
                <c:pt idx="4">
                  <c:v>55156973.24604933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B-45FA-AC81-AD2E6C26E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NORPC!$C$43:$G$43</c:f>
              <c:numCache>
                <c:formatCode>#,##0</c:formatCode>
                <c:ptCount val="5"/>
                <c:pt idx="0">
                  <c:v>19444155.284689717</c:v>
                </c:pt>
                <c:pt idx="1">
                  <c:v>22213805.083247483</c:v>
                </c:pt>
                <c:pt idx="2">
                  <c:v>25071677.908611741</c:v>
                </c:pt>
                <c:pt idx="3">
                  <c:v>25393416.105949998</c:v>
                </c:pt>
                <c:pt idx="4">
                  <c:v>26450975.910636071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9-4B17-878F-CE38202C73DA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NORPC!$C$47:$G$47</c:f>
              <c:numCache>
                <c:formatCode>#,##0</c:formatCode>
                <c:ptCount val="5"/>
                <c:pt idx="0">
                  <c:v>52305555.482026733</c:v>
                </c:pt>
                <c:pt idx="1">
                  <c:v>59756024.226139061</c:v>
                </c:pt>
                <c:pt idx="2">
                  <c:v>67443816.44128193</c:v>
                </c:pt>
                <c:pt idx="3">
                  <c:v>68309305.06164974</c:v>
                </c:pt>
                <c:pt idx="4">
                  <c:v>71154183.238647461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9-4B17-878F-CE38202C73DA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NORPC!$C$51:$G$51</c:f>
              <c:numCache>
                <c:formatCode>#,##0</c:formatCode>
                <c:ptCount val="5"/>
                <c:pt idx="0">
                  <c:v>7579908.5732454965</c:v>
                </c:pt>
                <c:pt idx="1">
                  <c:v>8659600.2310006712</c:v>
                </c:pt>
                <c:pt idx="2">
                  <c:v>9773683.8418881446</c:v>
                </c:pt>
                <c:pt idx="3">
                  <c:v>9899106.9361104518</c:v>
                </c:pt>
                <c:pt idx="4">
                  <c:v>10311375.122251289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9-4B17-878F-CE38202C7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NORPC!$C$28:$G$28</c:f>
              <c:numCache>
                <c:formatCode>General</c:formatCode>
                <c:ptCount val="5"/>
                <c:pt idx="0">
                  <c:v>24</c:v>
                </c:pt>
                <c:pt idx="1">
                  <c:v>29</c:v>
                </c:pt>
                <c:pt idx="2">
                  <c:v>19</c:v>
                </c:pt>
                <c:pt idx="3">
                  <c:v>24</c:v>
                </c:pt>
                <c:pt idx="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3-4F49-849E-ECDA0A1504AD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NORPC!$C$52:$G$52</c:f>
              <c:numCache>
                <c:formatCode>General</c:formatCode>
                <c:ptCount val="5"/>
                <c:pt idx="0">
                  <c:v>7</c:v>
                </c:pt>
                <c:pt idx="1">
                  <c:v>3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3-4F49-849E-ECDA0A1504AD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NORPC!$C$61:$G$61</c:f>
              <c:numCache>
                <c:formatCode>General</c:formatCode>
                <c:ptCount val="5"/>
                <c:pt idx="0">
                  <c:v>31</c:v>
                </c:pt>
                <c:pt idx="1">
                  <c:v>32</c:v>
                </c:pt>
                <c:pt idx="2">
                  <c:v>28</c:v>
                </c:pt>
                <c:pt idx="3">
                  <c:v>31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3-4F49-849E-ECDA0A150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Statewide!$C$25:$G$25</c:f>
              <c:numCache>
                <c:formatCode>#,##0</c:formatCode>
                <c:ptCount val="5"/>
                <c:pt idx="0">
                  <c:v>102794680.51714437</c:v>
                </c:pt>
                <c:pt idx="1">
                  <c:v>112095866.16152699</c:v>
                </c:pt>
                <c:pt idx="2">
                  <c:v>125525037.78971659</c:v>
                </c:pt>
                <c:pt idx="3">
                  <c:v>101536619.83682474</c:v>
                </c:pt>
                <c:pt idx="4">
                  <c:v>103395731.914823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A-4FC9-853E-81A935F189E2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'[1]Statewide Exposure Estimates'!$C$7:$G$7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Statewide!$C$49:$G$49</c:f>
              <c:numCache>
                <c:formatCode>#,##0</c:formatCode>
                <c:ptCount val="5"/>
                <c:pt idx="0">
                  <c:v>14478749.517465811</c:v>
                </c:pt>
                <c:pt idx="1">
                  <c:v>12260429.838845145</c:v>
                </c:pt>
                <c:pt idx="2">
                  <c:v>14007968.195397826</c:v>
                </c:pt>
                <c:pt idx="3">
                  <c:v>12520317.045262689</c:v>
                </c:pt>
                <c:pt idx="4">
                  <c:v>15134286.444448622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A-4FC9-853E-81A935F18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NORPC!$C$29:$G$29</c:f>
              <c:numCache>
                <c:formatCode>0.000</c:formatCode>
                <c:ptCount val="5"/>
                <c:pt idx="0">
                  <c:v>0.46175509484587873</c:v>
                </c:pt>
                <c:pt idx="1">
                  <c:v>0.54416258147756025</c:v>
                </c:pt>
                <c:pt idx="2">
                  <c:v>0.3512422589788694</c:v>
                </c:pt>
                <c:pt idx="3">
                  <c:v>0.45208019675791089</c:v>
                </c:pt>
                <c:pt idx="4">
                  <c:v>0.47138192090448461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3-4247-AE72-7808B244A477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NORPC!$C$53:$G$53</c:f>
              <c:numCache>
                <c:formatCode>0.000</c:formatCode>
                <c:ptCount val="5"/>
                <c:pt idx="0">
                  <c:v>0.92349398839817454</c:v>
                </c:pt>
                <c:pt idx="1">
                  <c:v>0.34643631576204198</c:v>
                </c:pt>
                <c:pt idx="2">
                  <c:v>0.9208400993520699</c:v>
                </c:pt>
                <c:pt idx="3">
                  <c:v>0.70713449659433969</c:v>
                </c:pt>
                <c:pt idx="4">
                  <c:v>0.67886192840511128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3-4247-AE72-7808B244A477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NORPC!$C$62:$G$62</c:f>
              <c:numCache>
                <c:formatCode>0.000</c:formatCode>
                <c:ptCount val="5"/>
                <c:pt idx="0">
                  <c:v>0.52052276287269805</c:v>
                </c:pt>
                <c:pt idx="1">
                  <c:v>0.51652478617613662</c:v>
                </c:pt>
                <c:pt idx="2">
                  <c:v>0.43840830888131022</c:v>
                </c:pt>
                <c:pt idx="3">
                  <c:v>0.49216479312164124</c:v>
                </c:pt>
                <c:pt idx="4">
                  <c:v>0.50406037149973992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83-4247-AE72-7808B244A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NORPC!$C$19:$G$19</c:f>
              <c:numCache>
                <c:formatCode>#,##0</c:formatCode>
                <c:ptCount val="5"/>
                <c:pt idx="0">
                  <c:v>182411716.67331329</c:v>
                </c:pt>
                <c:pt idx="1">
                  <c:v>187034837.99505815</c:v>
                </c:pt>
                <c:pt idx="2">
                  <c:v>189845376.21184734</c:v>
                </c:pt>
                <c:pt idx="3">
                  <c:v>186315481.49540001</c:v>
                </c:pt>
                <c:pt idx="4">
                  <c:v>193576935.7739794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B-4E09-BB7D-FD669B605EA0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NORPC!$C$43:$G$43</c:f>
              <c:numCache>
                <c:formatCode>#,##0</c:formatCode>
                <c:ptCount val="5"/>
                <c:pt idx="0">
                  <c:v>19444155.284689717</c:v>
                </c:pt>
                <c:pt idx="1">
                  <c:v>22213805.083247483</c:v>
                </c:pt>
                <c:pt idx="2">
                  <c:v>25071677.908611741</c:v>
                </c:pt>
                <c:pt idx="3">
                  <c:v>25393416.105949998</c:v>
                </c:pt>
                <c:pt idx="4">
                  <c:v>26450975.910636071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B-4E09-BB7D-FD669B60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NORPC!$C$23:$G$23</c:f>
              <c:numCache>
                <c:formatCode>#,##0</c:formatCode>
                <c:ptCount val="5"/>
                <c:pt idx="0">
                  <c:v>124632805.41704132</c:v>
                </c:pt>
                <c:pt idx="1">
                  <c:v>127791553.06012349</c:v>
                </c:pt>
                <c:pt idx="2">
                  <c:v>129711853.29674469</c:v>
                </c:pt>
                <c:pt idx="3">
                  <c:v>127300052.73173206</c:v>
                </c:pt>
                <c:pt idx="4">
                  <c:v>132261441.36757143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7-4ADE-99B3-9BCBAF066C73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NORPC!$C$47:$G$47</c:f>
              <c:numCache>
                <c:formatCode>#,##0</c:formatCode>
                <c:ptCount val="5"/>
                <c:pt idx="0">
                  <c:v>52305555.482026733</c:v>
                </c:pt>
                <c:pt idx="1">
                  <c:v>59756024.226139061</c:v>
                </c:pt>
                <c:pt idx="2">
                  <c:v>67443816.44128193</c:v>
                </c:pt>
                <c:pt idx="3">
                  <c:v>68309305.06164974</c:v>
                </c:pt>
                <c:pt idx="4">
                  <c:v>71154183.238647461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7-4ADE-99B3-9BCBAF066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NORPC!$C$27:$G$27</c:f>
              <c:numCache>
                <c:formatCode>#,##0</c:formatCode>
                <c:ptCount val="5"/>
                <c:pt idx="0">
                  <c:v>51975604.098121636</c:v>
                </c:pt>
                <c:pt idx="1">
                  <c:v>53292896.254013889</c:v>
                </c:pt>
                <c:pt idx="2">
                  <c:v>54093718.834506854</c:v>
                </c:pt>
                <c:pt idx="3">
                  <c:v>53087925.930212796</c:v>
                </c:pt>
                <c:pt idx="4">
                  <c:v>55156973.24604933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8-4BA2-AE23-2E4A16F7A304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NORPC!$C$51:$G$51</c:f>
              <c:numCache>
                <c:formatCode>#,##0</c:formatCode>
                <c:ptCount val="5"/>
                <c:pt idx="0">
                  <c:v>7579908.5732454965</c:v>
                </c:pt>
                <c:pt idx="1">
                  <c:v>8659600.2310006712</c:v>
                </c:pt>
                <c:pt idx="2">
                  <c:v>9773683.8418881446</c:v>
                </c:pt>
                <c:pt idx="3">
                  <c:v>9899106.9361104518</c:v>
                </c:pt>
                <c:pt idx="4">
                  <c:v>10311375.122251289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B8-4BA2-AE23-2E4A16F7A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Tangi!$C$58:$G$58</c:f>
              <c:numCache>
                <c:formatCode>#,##0</c:formatCode>
                <c:ptCount val="5"/>
                <c:pt idx="0">
                  <c:v>11846284.381404441</c:v>
                </c:pt>
                <c:pt idx="1">
                  <c:v>12580251.179927295</c:v>
                </c:pt>
                <c:pt idx="2">
                  <c:v>14199668.072253648</c:v>
                </c:pt>
                <c:pt idx="3">
                  <c:v>13030350.9486</c:v>
                </c:pt>
                <c:pt idx="4">
                  <c:v>14406944.782911353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A-4075-A20F-01B49A690D82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Tangi!$C$59:$G$59</c:f>
              <c:numCache>
                <c:formatCode>#,##0</c:formatCode>
                <c:ptCount val="5"/>
                <c:pt idx="0">
                  <c:v>10396242.232789965</c:v>
                </c:pt>
                <c:pt idx="1">
                  <c:v>11232039.86484006</c:v>
                </c:pt>
                <c:pt idx="2">
                  <c:v>12540687.950034684</c:v>
                </c:pt>
                <c:pt idx="3">
                  <c:v>11775020.904630275</c:v>
                </c:pt>
                <c:pt idx="4">
                  <c:v>13367091.890274841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A-4075-A20F-01B49A690D82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Tangi!$C$60:$G$60</c:f>
              <c:numCache>
                <c:formatCode>#,##0</c:formatCode>
                <c:ptCount val="5"/>
                <c:pt idx="0">
                  <c:v>3682836.6362168957</c:v>
                </c:pt>
                <c:pt idx="1">
                  <c:v>3917318.4477275214</c:v>
                </c:pt>
                <c:pt idx="2">
                  <c:v>4417070.9722099127</c:v>
                </c:pt>
                <c:pt idx="3">
                  <c:v>4062113.3958293502</c:v>
                </c:pt>
                <c:pt idx="4">
                  <c:v>4502701.702910115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A-4075-A20F-01B49A690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Walking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59782002101808296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Tangi!$C$19:$G$19</c:f>
              <c:numCache>
                <c:formatCode>#,##0</c:formatCode>
                <c:ptCount val="5"/>
                <c:pt idx="0">
                  <c:v>10917365.5174355</c:v>
                </c:pt>
                <c:pt idx="1">
                  <c:v>11497406.030767813</c:v>
                </c:pt>
                <c:pt idx="2">
                  <c:v>13046424.765850199</c:v>
                </c:pt>
                <c:pt idx="3">
                  <c:v>11837809.2684</c:v>
                </c:pt>
                <c:pt idx="4">
                  <c:v>12913393.574110987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C-4354-B534-68AAC249B2A0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Tangi!$C$23:$G$23</c:f>
              <c:numCache>
                <c:formatCode>#,##0</c:formatCode>
                <c:ptCount val="5"/>
                <c:pt idx="0">
                  <c:v>7878407.6520021539</c:v>
                </c:pt>
                <c:pt idx="1">
                  <c:v>8296988.0880432846</c:v>
                </c:pt>
                <c:pt idx="2">
                  <c:v>9414821.9680281375</c:v>
                </c:pt>
                <c:pt idx="3">
                  <c:v>8542636.6804481763</c:v>
                </c:pt>
                <c:pt idx="4">
                  <c:v>9318821.3388214521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C-4354-B534-68AAC249B2A0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Tangi!$C$27:$G$27</c:f>
              <c:numCache>
                <c:formatCode>#,##0</c:formatCode>
                <c:ptCount val="5"/>
                <c:pt idx="0">
                  <c:v>3338066.387197285</c:v>
                </c:pt>
                <c:pt idx="1">
                  <c:v>3515418.1244524899</c:v>
                </c:pt>
                <c:pt idx="2">
                  <c:v>3989042.2203444424</c:v>
                </c:pt>
                <c:pt idx="3">
                  <c:v>3619498.9673828133</c:v>
                </c:pt>
                <c:pt idx="4">
                  <c:v>3948366.9357362404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4C-4354-B534-68AAC249B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Bicycling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40609006307969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Tangi!$C$43:$G$43</c:f>
              <c:numCache>
                <c:formatCode>#,##0</c:formatCode>
                <c:ptCount val="5"/>
                <c:pt idx="0">
                  <c:v>928918.86396893999</c:v>
                </c:pt>
                <c:pt idx="1">
                  <c:v>1082845.1491594815</c:v>
                </c:pt>
                <c:pt idx="2">
                  <c:v>1153243.3064034479</c:v>
                </c:pt>
                <c:pt idx="3">
                  <c:v>1192541.6801999998</c:v>
                </c:pt>
                <c:pt idx="4">
                  <c:v>1493551.2088003652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B-49BB-857F-3385980AFE34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Tangi!$C$47:$G$47</c:f>
              <c:numCache>
                <c:formatCode>#,##0</c:formatCode>
                <c:ptCount val="5"/>
                <c:pt idx="0">
                  <c:v>2517834.5807878119</c:v>
                </c:pt>
                <c:pt idx="1">
                  <c:v>2935051.7767967749</c:v>
                </c:pt>
                <c:pt idx="2">
                  <c:v>3125865.9820065456</c:v>
                </c:pt>
                <c:pt idx="3">
                  <c:v>3232384.2241820996</c:v>
                </c:pt>
                <c:pt idx="4">
                  <c:v>4048270.5514533902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B-49BB-857F-3385980AFE34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Tangi!$C$51:$G$51</c:f>
              <c:numCache>
                <c:formatCode>#,##0</c:formatCode>
                <c:ptCount val="5"/>
                <c:pt idx="0">
                  <c:v>344770.2490196107</c:v>
                </c:pt>
                <c:pt idx="1">
                  <c:v>401900.32327503141</c:v>
                </c:pt>
                <c:pt idx="2">
                  <c:v>428028.7518654702</c:v>
                </c:pt>
                <c:pt idx="3">
                  <c:v>442614.42844653706</c:v>
                </c:pt>
                <c:pt idx="4">
                  <c:v>554334.76717387466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B-49BB-857F-3385980AF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Fatalities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Tangi!$C$28:$G$28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1-42D4-A597-AFF71D93A8BD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Tangi!$C$52:$G$52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1-42D4-A597-AFF71D93A8BD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Tangi!$C$61:$G$61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1-42D4-A597-AFF71D93A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Risk - Fatalities/Million Hours of Travel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Walking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Tangi!$C$29:$G$29</c:f>
              <c:numCache>
                <c:formatCode>0.000</c:formatCode>
                <c:ptCount val="5"/>
                <c:pt idx="0">
                  <c:v>0.89872388742959275</c:v>
                </c:pt>
                <c:pt idx="1">
                  <c:v>0.85338355034715419</c:v>
                </c:pt>
                <c:pt idx="2">
                  <c:v>1.2534337126089041</c:v>
                </c:pt>
                <c:pt idx="3">
                  <c:v>1.933969331965733</c:v>
                </c:pt>
                <c:pt idx="4">
                  <c:v>0.50653853417174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1-40C4-B3E3-E96533713F1D}"/>
            </c:ext>
          </c:extLst>
        </c:ser>
        <c:ser>
          <c:idx val="0"/>
          <c:order val="1"/>
          <c:tx>
            <c:v>Bicycling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Tangi!$C$53:$G$53</c:f>
              <c:numCache>
                <c:formatCode>0.000</c:formatCode>
                <c:ptCount val="5"/>
                <c:pt idx="0">
                  <c:v>0</c:v>
                </c:pt>
                <c:pt idx="1">
                  <c:v>2.488179138178181</c:v>
                </c:pt>
                <c:pt idx="2">
                  <c:v>2.3362916524689465</c:v>
                </c:pt>
                <c:pt idx="3">
                  <c:v>4.5186055208807501</c:v>
                </c:pt>
                <c:pt idx="4">
                  <c:v>1.8039640650688908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1-40C4-B3E3-E96533713F1D}"/>
            </c:ext>
          </c:extLst>
        </c:ser>
        <c:ser>
          <c:idx val="2"/>
          <c:order val="2"/>
          <c:tx>
            <c:v>Non-Motorized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'[1]MPO Area Exposure Estimates'!$C$57:$G$57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Tangi!$C$62:$G$62</c:f>
              <c:numCache>
                <c:formatCode>0.000</c:formatCode>
                <c:ptCount val="5"/>
                <c:pt idx="0">
                  <c:v>0.81458948531631781</c:v>
                </c:pt>
                <c:pt idx="1">
                  <c:v>1.0211066711516503</c:v>
                </c:pt>
                <c:pt idx="2">
                  <c:v>1.358366220001697</c:v>
                </c:pt>
                <c:pt idx="3">
                  <c:v>2.2155954605404355</c:v>
                </c:pt>
                <c:pt idx="4">
                  <c:v>0.66626665454233558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1-40C4-B3E3-E96533713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460156661707"/>
          <c:y val="0.34005704286964128"/>
          <c:w val="0.21979299371204328"/>
          <c:h val="0.4117840769903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Trips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Tangi!$C$19:$G$19</c:f>
              <c:numCache>
                <c:formatCode>#,##0</c:formatCode>
                <c:ptCount val="5"/>
                <c:pt idx="0">
                  <c:v>10917365.5174355</c:v>
                </c:pt>
                <c:pt idx="1">
                  <c:v>11497406.030767813</c:v>
                </c:pt>
                <c:pt idx="2">
                  <c:v>13046424.765850199</c:v>
                </c:pt>
                <c:pt idx="3">
                  <c:v>11837809.2684</c:v>
                </c:pt>
                <c:pt idx="4">
                  <c:v>12913393.574110987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6-4B45-99D3-CE76A11D6F20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Tangi!$C$43:$G$43</c:f>
              <c:numCache>
                <c:formatCode>#,##0</c:formatCode>
                <c:ptCount val="5"/>
                <c:pt idx="0">
                  <c:v>928918.86396893999</c:v>
                </c:pt>
                <c:pt idx="1">
                  <c:v>1082845.1491594815</c:v>
                </c:pt>
                <c:pt idx="2">
                  <c:v>1153243.3064034479</c:v>
                </c:pt>
                <c:pt idx="3">
                  <c:v>1192541.6801999998</c:v>
                </c:pt>
                <c:pt idx="4">
                  <c:v>1493551.2088003652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F6-4B45-99D3-CE76A11D6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Non-Motorized Exposure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2973392450238"/>
          <c:y val="0.17171296296296296"/>
          <c:w val="0.60222508736115588"/>
          <c:h val="0.72088764946048411"/>
        </c:manualLayout>
      </c:layout>
      <c:lineChart>
        <c:grouping val="standard"/>
        <c:varyColors val="0"/>
        <c:ser>
          <c:idx val="1"/>
          <c:order val="0"/>
          <c:tx>
            <c:v>Trips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Estimates'!$C$56:$G$56</c:f>
              <c:numCache>
                <c:formatCode>General</c:formatCode>
                <c:ptCount val="5"/>
                <c:pt idx="0">
                  <c:v>467559159.76043034</c:v>
                </c:pt>
                <c:pt idx="1">
                  <c:v>498320486.98535758</c:v>
                </c:pt>
                <c:pt idx="2">
                  <c:v>558934535.00170028</c:v>
                </c:pt>
                <c:pt idx="3">
                  <c:v>456008892.4356311</c:v>
                </c:pt>
                <c:pt idx="4">
                  <c:v>472158694.07357144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7-4B47-AE49-A23FBE275D0C}"/>
            </c:ext>
          </c:extLst>
        </c:ser>
        <c:ser>
          <c:idx val="0"/>
          <c:order val="1"/>
          <c:tx>
            <c:v>Miles of Travel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Estimates'!$C$57:$G$57</c:f>
              <c:numCache>
                <c:formatCode>General</c:formatCode>
                <c:ptCount val="5"/>
                <c:pt idx="0">
                  <c:v>477008038.85382462</c:v>
                </c:pt>
                <c:pt idx="1">
                  <c:v>502168403.01965129</c:v>
                </c:pt>
                <c:pt idx="2">
                  <c:v>563753441.28145504</c:v>
                </c:pt>
                <c:pt idx="3">
                  <c:v>462083046.29760778</c:v>
                </c:pt>
                <c:pt idx="4">
                  <c:v>482707551.65494764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7-4B47-AE49-A23FBE275D0C}"/>
            </c:ext>
          </c:extLst>
        </c:ser>
        <c:ser>
          <c:idx val="2"/>
          <c:order val="2"/>
          <c:tx>
            <c:v>Hours of Travel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'[1]Statewide Exposure Estimates'!$C$55:$G$55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'[1]Statewide Exposure Estimates'!$C$58:$G$58</c:f>
              <c:numCache>
                <c:formatCode>General</c:formatCode>
                <c:ptCount val="5"/>
                <c:pt idx="0">
                  <c:v>117272478.56615062</c:v>
                </c:pt>
                <c:pt idx="1">
                  <c:v>124354891.40012039</c:v>
                </c:pt>
                <c:pt idx="2">
                  <c:v>139532177.11124337</c:v>
                </c:pt>
                <c:pt idx="3">
                  <c:v>114055857.75176011</c:v>
                </c:pt>
                <c:pt idx="4">
                  <c:v>118528582.89101894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27-4B47-AE49-A23FBE27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839856"/>
        <c:axId val="1441836528"/>
      </c:lineChart>
      <c:catAx>
        <c:axId val="1441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6528"/>
        <c:crosses val="autoZero"/>
        <c:auto val="1"/>
        <c:lblAlgn val="ctr"/>
        <c:lblOffset val="100"/>
        <c:noMultiLvlLbl val="0"/>
      </c:catAx>
      <c:valAx>
        <c:axId val="14418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83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6549174291071"/>
          <c:y val="0.42005686789151364"/>
          <c:w val="0.19380211654334167"/>
          <c:h val="0.3362284922717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Miles of Travel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Tangi!$C$23:$G$23</c:f>
              <c:numCache>
                <c:formatCode>#,##0</c:formatCode>
                <c:ptCount val="5"/>
                <c:pt idx="0">
                  <c:v>7878407.6520021539</c:v>
                </c:pt>
                <c:pt idx="1">
                  <c:v>8296988.0880432846</c:v>
                </c:pt>
                <c:pt idx="2">
                  <c:v>9414821.9680281375</c:v>
                </c:pt>
                <c:pt idx="3">
                  <c:v>8542636.6804481763</c:v>
                </c:pt>
                <c:pt idx="4">
                  <c:v>9318821.3388214521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8-4B89-A333-A8E78645C32E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Tangi!$C$47:$G$47</c:f>
              <c:numCache>
                <c:formatCode>#,##0</c:formatCode>
                <c:ptCount val="5"/>
                <c:pt idx="0">
                  <c:v>2517834.5807878119</c:v>
                </c:pt>
                <c:pt idx="1">
                  <c:v>2935051.7767967749</c:v>
                </c:pt>
                <c:pt idx="2">
                  <c:v>3125865.9820065456</c:v>
                </c:pt>
                <c:pt idx="3">
                  <c:v>3232384.2241820996</c:v>
                </c:pt>
                <c:pt idx="4">
                  <c:v>4048270.5514533902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8-4B89-A333-A8E78645C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Hours of Travel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Walking</c:v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Tangi!$C$27:$G$27</c:f>
              <c:numCache>
                <c:formatCode>#,##0</c:formatCode>
                <c:ptCount val="5"/>
                <c:pt idx="0">
                  <c:v>3338066.387197285</c:v>
                </c:pt>
                <c:pt idx="1">
                  <c:v>3515418.1244524899</c:v>
                </c:pt>
                <c:pt idx="2">
                  <c:v>3989042.2203444424</c:v>
                </c:pt>
                <c:pt idx="3">
                  <c:v>3619498.9673828133</c:v>
                </c:pt>
                <c:pt idx="4">
                  <c:v>3948366.9357362404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F-4B5A-BE44-529FF2B09848}"/>
            </c:ext>
          </c:extLst>
        </c:ser>
        <c:ser>
          <c:idx val="3"/>
          <c:order val="1"/>
          <c:tx>
            <c:v>Bicycling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'[1]MPO Area Exposure Estimates'!$C$9:$G$9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Tangi!$C$51:$G$51</c:f>
              <c:numCache>
                <c:formatCode>#,##0</c:formatCode>
                <c:ptCount val="5"/>
                <c:pt idx="0">
                  <c:v>344770.2490196107</c:v>
                </c:pt>
                <c:pt idx="1">
                  <c:v>401900.32327503141</c:v>
                </c:pt>
                <c:pt idx="2">
                  <c:v>428028.7518654702</c:v>
                </c:pt>
                <c:pt idx="3">
                  <c:v>442614.42844653706</c:v>
                </c:pt>
                <c:pt idx="4">
                  <c:v>554334.76717387466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F-4B5A-BE44-529FF2B09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3952"/>
        <c:axId val="1122486032"/>
      </c:barChart>
      <c:catAx>
        <c:axId val="11224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6032"/>
        <c:crosses val="autoZero"/>
        <c:auto val="1"/>
        <c:lblAlgn val="ctr"/>
        <c:lblOffset val="100"/>
        <c:noMultiLvlLbl val="0"/>
      </c:catAx>
      <c:valAx>
        <c:axId val="1122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3.xml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1.xml"/><Relationship Id="rId3" Type="http://schemas.openxmlformats.org/officeDocument/2006/relationships/chart" Target="../charts/chart86.xml"/><Relationship Id="rId7" Type="http://schemas.openxmlformats.org/officeDocument/2006/relationships/chart" Target="../charts/chart90.xml"/><Relationship Id="rId2" Type="http://schemas.openxmlformats.org/officeDocument/2006/relationships/chart" Target="../charts/chart85.xml"/><Relationship Id="rId1" Type="http://schemas.openxmlformats.org/officeDocument/2006/relationships/chart" Target="../charts/chart84.xml"/><Relationship Id="rId6" Type="http://schemas.openxmlformats.org/officeDocument/2006/relationships/chart" Target="../charts/chart89.xml"/><Relationship Id="rId5" Type="http://schemas.openxmlformats.org/officeDocument/2006/relationships/chart" Target="../charts/chart88.xml"/><Relationship Id="rId4" Type="http://schemas.openxmlformats.org/officeDocument/2006/relationships/chart" Target="../charts/chart8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chart" Target="../charts/chart46.xml"/><Relationship Id="rId7" Type="http://schemas.openxmlformats.org/officeDocument/2006/relationships/chart" Target="../charts/chart50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61</xdr:row>
      <xdr:rowOff>0</xdr:rowOff>
    </xdr:from>
    <xdr:to>
      <xdr:col>3</xdr:col>
      <xdr:colOff>666749</xdr:colOff>
      <xdr:row>75</xdr:row>
      <xdr:rowOff>167640</xdr:rowOff>
    </xdr:to>
    <xdr:graphicFrame macro="">
      <xdr:nvGraphicFramePr>
        <xdr:cNvPr id="3" name="Chart 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F3A4A2A3-A26F-4762-ABFC-A8735F571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8</xdr:col>
      <xdr:colOff>685800</xdr:colOff>
      <xdr:row>75</xdr:row>
      <xdr:rowOff>167640</xdr:rowOff>
    </xdr:to>
    <xdr:graphicFrame macro="">
      <xdr:nvGraphicFramePr>
        <xdr:cNvPr id="4" name="Chart 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A4994FC8-A8FA-400C-8075-962EE95D1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61</xdr:row>
      <xdr:rowOff>0</xdr:rowOff>
    </xdr:from>
    <xdr:to>
      <xdr:col>15</xdr:col>
      <xdr:colOff>552449</xdr:colOff>
      <xdr:row>75</xdr:row>
      <xdr:rowOff>167640</xdr:rowOff>
    </xdr:to>
    <xdr:graphicFrame macro="">
      <xdr:nvGraphicFramePr>
        <xdr:cNvPr id="5" name="Chart 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D952DD16-0667-4388-AB85-A38A895C5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77</xdr:row>
      <xdr:rowOff>0</xdr:rowOff>
    </xdr:from>
    <xdr:to>
      <xdr:col>3</xdr:col>
      <xdr:colOff>676273</xdr:colOff>
      <xdr:row>91</xdr:row>
      <xdr:rowOff>167640</xdr:rowOff>
    </xdr:to>
    <xdr:graphicFrame macro="">
      <xdr:nvGraphicFramePr>
        <xdr:cNvPr id="6" name="Chart 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948EC4A8-32C9-497F-A45B-66054DEA1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8</xdr:col>
      <xdr:colOff>685800</xdr:colOff>
      <xdr:row>91</xdr:row>
      <xdr:rowOff>167640</xdr:rowOff>
    </xdr:to>
    <xdr:graphicFrame macro="">
      <xdr:nvGraphicFramePr>
        <xdr:cNvPr id="7" name="Chart 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5179F894-C9D1-4561-8974-590281AC6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93</xdr:row>
      <xdr:rowOff>0</xdr:rowOff>
    </xdr:from>
    <xdr:to>
      <xdr:col>3</xdr:col>
      <xdr:colOff>685800</xdr:colOff>
      <xdr:row>107</xdr:row>
      <xdr:rowOff>167640</xdr:rowOff>
    </xdr:to>
    <xdr:graphicFrame macro="">
      <xdr:nvGraphicFramePr>
        <xdr:cNvPr id="8" name="Chart 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F8372029-D1C8-4C09-BF9D-B221FDBCF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93</xdr:row>
      <xdr:rowOff>0</xdr:rowOff>
    </xdr:from>
    <xdr:to>
      <xdr:col>8</xdr:col>
      <xdr:colOff>685800</xdr:colOff>
      <xdr:row>107</xdr:row>
      <xdr:rowOff>167640</xdr:rowOff>
    </xdr:to>
    <xdr:graphicFrame macro="">
      <xdr:nvGraphicFramePr>
        <xdr:cNvPr id="9" name="Chart 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5C18C929-7198-4365-ABCB-874C3CE94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93</xdr:row>
      <xdr:rowOff>0</xdr:rowOff>
    </xdr:from>
    <xdr:to>
      <xdr:col>15</xdr:col>
      <xdr:colOff>552450</xdr:colOff>
      <xdr:row>107</xdr:row>
      <xdr:rowOff>167640</xdr:rowOff>
    </xdr:to>
    <xdr:graphicFrame macro="">
      <xdr:nvGraphicFramePr>
        <xdr:cNvPr id="10" name="Chart 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91D8232C-5DA9-4039-A18D-B5D2BC8F2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63</xdr:row>
      <xdr:rowOff>0</xdr:rowOff>
    </xdr:from>
    <xdr:to>
      <xdr:col>3</xdr:col>
      <xdr:colOff>666749</xdr:colOff>
      <xdr:row>77</xdr:row>
      <xdr:rowOff>167640</xdr:rowOff>
    </xdr:to>
    <xdr:graphicFrame macro="">
      <xdr:nvGraphicFramePr>
        <xdr:cNvPr id="3" name="Chart 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16C41D98-944D-443A-BF63-1E59C8325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685800</xdr:colOff>
      <xdr:row>77</xdr:row>
      <xdr:rowOff>167640</xdr:rowOff>
    </xdr:to>
    <xdr:graphicFrame macro="">
      <xdr:nvGraphicFramePr>
        <xdr:cNvPr id="4" name="Chart 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C9D75B33-6421-4D6D-A1BD-268B2832D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63</xdr:row>
      <xdr:rowOff>0</xdr:rowOff>
    </xdr:from>
    <xdr:to>
      <xdr:col>15</xdr:col>
      <xdr:colOff>552449</xdr:colOff>
      <xdr:row>77</xdr:row>
      <xdr:rowOff>167640</xdr:rowOff>
    </xdr:to>
    <xdr:graphicFrame macro="">
      <xdr:nvGraphicFramePr>
        <xdr:cNvPr id="5" name="Chart 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3A5E0009-862B-44D4-84DA-D44123301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79</xdr:row>
      <xdr:rowOff>0</xdr:rowOff>
    </xdr:from>
    <xdr:to>
      <xdr:col>3</xdr:col>
      <xdr:colOff>676273</xdr:colOff>
      <xdr:row>93</xdr:row>
      <xdr:rowOff>167640</xdr:rowOff>
    </xdr:to>
    <xdr:graphicFrame macro="">
      <xdr:nvGraphicFramePr>
        <xdr:cNvPr id="6" name="Chart 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27403C52-5355-407D-8477-DF63BE30B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79</xdr:row>
      <xdr:rowOff>0</xdr:rowOff>
    </xdr:from>
    <xdr:to>
      <xdr:col>8</xdr:col>
      <xdr:colOff>685800</xdr:colOff>
      <xdr:row>93</xdr:row>
      <xdr:rowOff>167640</xdr:rowOff>
    </xdr:to>
    <xdr:graphicFrame macro="">
      <xdr:nvGraphicFramePr>
        <xdr:cNvPr id="7" name="Chart 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F15781B5-F4CF-4355-947A-96182099B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95</xdr:row>
      <xdr:rowOff>0</xdr:rowOff>
    </xdr:from>
    <xdr:to>
      <xdr:col>3</xdr:col>
      <xdr:colOff>685800</xdr:colOff>
      <xdr:row>109</xdr:row>
      <xdr:rowOff>167640</xdr:rowOff>
    </xdr:to>
    <xdr:graphicFrame macro="">
      <xdr:nvGraphicFramePr>
        <xdr:cNvPr id="8" name="Chart 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C9CBBA11-99E7-4A11-9FBB-D9593628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95</xdr:row>
      <xdr:rowOff>0</xdr:rowOff>
    </xdr:from>
    <xdr:to>
      <xdr:col>8</xdr:col>
      <xdr:colOff>685800</xdr:colOff>
      <xdr:row>109</xdr:row>
      <xdr:rowOff>167640</xdr:rowOff>
    </xdr:to>
    <xdr:graphicFrame macro="">
      <xdr:nvGraphicFramePr>
        <xdr:cNvPr id="9" name="Chart 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2085D248-91E0-4D4C-8F32-7F69FCE3A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15</xdr:col>
      <xdr:colOff>552450</xdr:colOff>
      <xdr:row>109</xdr:row>
      <xdr:rowOff>167640</xdr:rowOff>
    </xdr:to>
    <xdr:graphicFrame macro="">
      <xdr:nvGraphicFramePr>
        <xdr:cNvPr id="10" name="Chart 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4F47EF31-9B93-42F3-89DE-82D22ACA6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63</xdr:row>
      <xdr:rowOff>0</xdr:rowOff>
    </xdr:from>
    <xdr:to>
      <xdr:col>3</xdr:col>
      <xdr:colOff>666749</xdr:colOff>
      <xdr:row>77</xdr:row>
      <xdr:rowOff>167640</xdr:rowOff>
    </xdr:to>
    <xdr:graphicFrame macro="">
      <xdr:nvGraphicFramePr>
        <xdr:cNvPr id="3" name="Chart 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CA170D66-BE7B-4671-9869-70233E45D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685800</xdr:colOff>
      <xdr:row>77</xdr:row>
      <xdr:rowOff>167640</xdr:rowOff>
    </xdr:to>
    <xdr:graphicFrame macro="">
      <xdr:nvGraphicFramePr>
        <xdr:cNvPr id="4" name="Chart 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B3711ECA-66D9-4864-8E41-2F3CE4A91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63</xdr:row>
      <xdr:rowOff>0</xdr:rowOff>
    </xdr:from>
    <xdr:to>
      <xdr:col>15</xdr:col>
      <xdr:colOff>552449</xdr:colOff>
      <xdr:row>77</xdr:row>
      <xdr:rowOff>167640</xdr:rowOff>
    </xdr:to>
    <xdr:graphicFrame macro="">
      <xdr:nvGraphicFramePr>
        <xdr:cNvPr id="5" name="Chart 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A960FDDF-F163-4159-84C5-FE3F49736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79</xdr:row>
      <xdr:rowOff>0</xdr:rowOff>
    </xdr:from>
    <xdr:to>
      <xdr:col>3</xdr:col>
      <xdr:colOff>676273</xdr:colOff>
      <xdr:row>93</xdr:row>
      <xdr:rowOff>167640</xdr:rowOff>
    </xdr:to>
    <xdr:graphicFrame macro="">
      <xdr:nvGraphicFramePr>
        <xdr:cNvPr id="6" name="Chart 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2D68A1A9-54AD-490E-AD60-7783A1B0E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79</xdr:row>
      <xdr:rowOff>0</xdr:rowOff>
    </xdr:from>
    <xdr:to>
      <xdr:col>8</xdr:col>
      <xdr:colOff>685800</xdr:colOff>
      <xdr:row>93</xdr:row>
      <xdr:rowOff>167640</xdr:rowOff>
    </xdr:to>
    <xdr:graphicFrame macro="">
      <xdr:nvGraphicFramePr>
        <xdr:cNvPr id="7" name="Chart 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575FAB04-0390-4FE7-A6B1-911BB3C73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95</xdr:row>
      <xdr:rowOff>0</xdr:rowOff>
    </xdr:from>
    <xdr:to>
      <xdr:col>3</xdr:col>
      <xdr:colOff>685800</xdr:colOff>
      <xdr:row>109</xdr:row>
      <xdr:rowOff>167640</xdr:rowOff>
    </xdr:to>
    <xdr:graphicFrame macro="">
      <xdr:nvGraphicFramePr>
        <xdr:cNvPr id="8" name="Chart 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8ACCFACE-8ADE-463C-8223-3FAE482AA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95</xdr:row>
      <xdr:rowOff>0</xdr:rowOff>
    </xdr:from>
    <xdr:to>
      <xdr:col>8</xdr:col>
      <xdr:colOff>685800</xdr:colOff>
      <xdr:row>109</xdr:row>
      <xdr:rowOff>167640</xdr:rowOff>
    </xdr:to>
    <xdr:graphicFrame macro="">
      <xdr:nvGraphicFramePr>
        <xdr:cNvPr id="9" name="Chart 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2C741AF0-46E2-4643-9598-D4ED5F78A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15</xdr:col>
      <xdr:colOff>552450</xdr:colOff>
      <xdr:row>109</xdr:row>
      <xdr:rowOff>167640</xdr:rowOff>
    </xdr:to>
    <xdr:graphicFrame macro="">
      <xdr:nvGraphicFramePr>
        <xdr:cNvPr id="10" name="Chart 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E7BA0C54-5C7A-4B50-A306-2E4DFBF6C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63</xdr:row>
      <xdr:rowOff>0</xdr:rowOff>
    </xdr:from>
    <xdr:to>
      <xdr:col>3</xdr:col>
      <xdr:colOff>666749</xdr:colOff>
      <xdr:row>77</xdr:row>
      <xdr:rowOff>167640</xdr:rowOff>
    </xdr:to>
    <xdr:graphicFrame macro="">
      <xdr:nvGraphicFramePr>
        <xdr:cNvPr id="3" name="Chart 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94C8979A-36D5-466B-9025-BEF9EF27E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685800</xdr:colOff>
      <xdr:row>77</xdr:row>
      <xdr:rowOff>167640</xdr:rowOff>
    </xdr:to>
    <xdr:graphicFrame macro="">
      <xdr:nvGraphicFramePr>
        <xdr:cNvPr id="4" name="Chart 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6496534A-1F1C-4E6F-BEE8-FB3240EF6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63</xdr:row>
      <xdr:rowOff>0</xdr:rowOff>
    </xdr:from>
    <xdr:to>
      <xdr:col>15</xdr:col>
      <xdr:colOff>552449</xdr:colOff>
      <xdr:row>77</xdr:row>
      <xdr:rowOff>167640</xdr:rowOff>
    </xdr:to>
    <xdr:graphicFrame macro="">
      <xdr:nvGraphicFramePr>
        <xdr:cNvPr id="5" name="Chart 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B445A889-A042-439C-8F00-50F15688C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79</xdr:row>
      <xdr:rowOff>0</xdr:rowOff>
    </xdr:from>
    <xdr:to>
      <xdr:col>3</xdr:col>
      <xdr:colOff>676273</xdr:colOff>
      <xdr:row>93</xdr:row>
      <xdr:rowOff>167640</xdr:rowOff>
    </xdr:to>
    <xdr:graphicFrame macro="">
      <xdr:nvGraphicFramePr>
        <xdr:cNvPr id="6" name="Chart 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77C89370-9C6E-46B9-89D8-218C89609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79</xdr:row>
      <xdr:rowOff>0</xdr:rowOff>
    </xdr:from>
    <xdr:to>
      <xdr:col>8</xdr:col>
      <xdr:colOff>685800</xdr:colOff>
      <xdr:row>93</xdr:row>
      <xdr:rowOff>167640</xdr:rowOff>
    </xdr:to>
    <xdr:graphicFrame macro="">
      <xdr:nvGraphicFramePr>
        <xdr:cNvPr id="7" name="Chart 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D5F5555B-E86E-47EE-BFC5-C022F7F6F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95</xdr:row>
      <xdr:rowOff>0</xdr:rowOff>
    </xdr:from>
    <xdr:to>
      <xdr:col>3</xdr:col>
      <xdr:colOff>685800</xdr:colOff>
      <xdr:row>109</xdr:row>
      <xdr:rowOff>167640</xdr:rowOff>
    </xdr:to>
    <xdr:graphicFrame macro="">
      <xdr:nvGraphicFramePr>
        <xdr:cNvPr id="8" name="Chart 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6B1695E9-F4D0-4E1D-B40A-DC2C0C718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95</xdr:row>
      <xdr:rowOff>0</xdr:rowOff>
    </xdr:from>
    <xdr:to>
      <xdr:col>8</xdr:col>
      <xdr:colOff>685800</xdr:colOff>
      <xdr:row>109</xdr:row>
      <xdr:rowOff>167640</xdr:rowOff>
    </xdr:to>
    <xdr:graphicFrame macro="">
      <xdr:nvGraphicFramePr>
        <xdr:cNvPr id="9" name="Chart 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2890838B-5156-4913-ADD6-D45CD097B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15</xdr:col>
      <xdr:colOff>552450</xdr:colOff>
      <xdr:row>109</xdr:row>
      <xdr:rowOff>167640</xdr:rowOff>
    </xdr:to>
    <xdr:graphicFrame macro="">
      <xdr:nvGraphicFramePr>
        <xdr:cNvPr id="10" name="Chart 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A5DA1C9F-CFB9-4B80-8B31-08A8D0D24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21</xdr:row>
      <xdr:rowOff>0</xdr:rowOff>
    </xdr:from>
    <xdr:to>
      <xdr:col>3</xdr:col>
      <xdr:colOff>666749</xdr:colOff>
      <xdr:row>35</xdr:row>
      <xdr:rowOff>167640</xdr:rowOff>
    </xdr:to>
    <xdr:graphicFrame macro="">
      <xdr:nvGraphicFramePr>
        <xdr:cNvPr id="23" name="Chart 2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9C991CBD-CB24-40F2-B88A-E0D148E94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8</xdr:col>
      <xdr:colOff>685800</xdr:colOff>
      <xdr:row>35</xdr:row>
      <xdr:rowOff>167640</xdr:rowOff>
    </xdr:to>
    <xdr:graphicFrame macro="">
      <xdr:nvGraphicFramePr>
        <xdr:cNvPr id="24" name="Chart 2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4D61A93C-DAFA-4717-A5EE-7E503C9D7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21</xdr:row>
      <xdr:rowOff>0</xdr:rowOff>
    </xdr:from>
    <xdr:to>
      <xdr:col>15</xdr:col>
      <xdr:colOff>552449</xdr:colOff>
      <xdr:row>35</xdr:row>
      <xdr:rowOff>167640</xdr:rowOff>
    </xdr:to>
    <xdr:graphicFrame macro="">
      <xdr:nvGraphicFramePr>
        <xdr:cNvPr id="25" name="Chart 2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AB746E95-C300-4A95-A99C-3D94EC577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37</xdr:row>
      <xdr:rowOff>0</xdr:rowOff>
    </xdr:from>
    <xdr:to>
      <xdr:col>3</xdr:col>
      <xdr:colOff>676273</xdr:colOff>
      <xdr:row>51</xdr:row>
      <xdr:rowOff>167640</xdr:rowOff>
    </xdr:to>
    <xdr:graphicFrame macro="">
      <xdr:nvGraphicFramePr>
        <xdr:cNvPr id="26" name="Chart 2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BDD28BF3-53D1-4501-8B6E-553125613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37</xdr:row>
      <xdr:rowOff>0</xdr:rowOff>
    </xdr:from>
    <xdr:to>
      <xdr:col>8</xdr:col>
      <xdr:colOff>685800</xdr:colOff>
      <xdr:row>51</xdr:row>
      <xdr:rowOff>167640</xdr:rowOff>
    </xdr:to>
    <xdr:graphicFrame macro="">
      <xdr:nvGraphicFramePr>
        <xdr:cNvPr id="27" name="Chart 2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0FB2B96F-D01B-40AF-8529-F1BDFBE8B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53</xdr:row>
      <xdr:rowOff>0</xdr:rowOff>
    </xdr:from>
    <xdr:to>
      <xdr:col>3</xdr:col>
      <xdr:colOff>685800</xdr:colOff>
      <xdr:row>67</xdr:row>
      <xdr:rowOff>167640</xdr:rowOff>
    </xdr:to>
    <xdr:graphicFrame macro="">
      <xdr:nvGraphicFramePr>
        <xdr:cNvPr id="28" name="Chart 2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D3824512-87E6-4A76-8AF0-F9207836E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53</xdr:row>
      <xdr:rowOff>0</xdr:rowOff>
    </xdr:from>
    <xdr:to>
      <xdr:col>8</xdr:col>
      <xdr:colOff>685800</xdr:colOff>
      <xdr:row>67</xdr:row>
      <xdr:rowOff>167640</xdr:rowOff>
    </xdr:to>
    <xdr:graphicFrame macro="">
      <xdr:nvGraphicFramePr>
        <xdr:cNvPr id="29" name="Chart 2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1ADB0031-B56B-4657-8019-6A4C6D53D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53</xdr:row>
      <xdr:rowOff>0</xdr:rowOff>
    </xdr:from>
    <xdr:to>
      <xdr:col>15</xdr:col>
      <xdr:colOff>552450</xdr:colOff>
      <xdr:row>67</xdr:row>
      <xdr:rowOff>167640</xdr:rowOff>
    </xdr:to>
    <xdr:graphicFrame macro="">
      <xdr:nvGraphicFramePr>
        <xdr:cNvPr id="30" name="Chart 2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622AE8DA-28A6-4FA5-A03C-EB97A189B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142873</xdr:colOff>
      <xdr:row>8</xdr:row>
      <xdr:rowOff>82551</xdr:rowOff>
    </xdr:from>
    <xdr:to>
      <xdr:col>20</xdr:col>
      <xdr:colOff>628649</xdr:colOff>
      <xdr:row>34</xdr:row>
      <xdr:rowOff>39688</xdr:rowOff>
    </xdr:to>
    <xdr:graphicFrame macro="">
      <xdr:nvGraphicFramePr>
        <xdr:cNvPr id="2" name="Chart 1" descr="Chart illustrating estimated annual non-motorized trips in all Louisiana MPOS from 2013-2017 from SCRAM tool">
          <a:extLst>
            <a:ext uri="{FF2B5EF4-FFF2-40B4-BE49-F238E27FC236}">
              <a16:creationId xmlns:a16="http://schemas.microsoft.com/office/drawing/2014/main" id="{2EEAB548-7372-4768-A666-32026AD26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155574</xdr:colOff>
      <xdr:row>34</xdr:row>
      <xdr:rowOff>17462</xdr:rowOff>
    </xdr:from>
    <xdr:to>
      <xdr:col>20</xdr:col>
      <xdr:colOff>123824</xdr:colOff>
      <xdr:row>56</xdr:row>
      <xdr:rowOff>168275</xdr:rowOff>
    </xdr:to>
    <xdr:graphicFrame macro="">
      <xdr:nvGraphicFramePr>
        <xdr:cNvPr id="3" name="Chart 2" descr="Bar chart illustrating pedestrian fatalities per estimated million hours of travel for all Louisiana MSAs from 2013 to 2017 from SCRAM tool">
          <a:extLst>
            <a:ext uri="{FF2B5EF4-FFF2-40B4-BE49-F238E27FC236}">
              <a16:creationId xmlns:a16="http://schemas.microsoft.com/office/drawing/2014/main" id="{BEAA0340-69B2-4607-A208-FD10C0492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59</xdr:row>
      <xdr:rowOff>38100</xdr:rowOff>
    </xdr:from>
    <xdr:to>
      <xdr:col>19</xdr:col>
      <xdr:colOff>644525</xdr:colOff>
      <xdr:row>82</xdr:row>
      <xdr:rowOff>55563</xdr:rowOff>
    </xdr:to>
    <xdr:graphicFrame macro="">
      <xdr:nvGraphicFramePr>
        <xdr:cNvPr id="4" name="Chart 3" descr="Bar chart illustrating bicyclist fatalities per estimated million hours of travel for all Louisiana MSAs using SCRAM tool&#10;">
          <a:extLst>
            <a:ext uri="{FF2B5EF4-FFF2-40B4-BE49-F238E27FC236}">
              <a16:creationId xmlns:a16="http://schemas.microsoft.com/office/drawing/2014/main" id="{F19442A0-7F4F-42B0-BDB8-F766A9C04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118109</xdr:colOff>
      <xdr:row>63</xdr:row>
      <xdr:rowOff>0</xdr:rowOff>
    </xdr:from>
    <xdr:to>
      <xdr:col>3</xdr:col>
      <xdr:colOff>613409</xdr:colOff>
      <xdr:row>77</xdr:row>
      <xdr:rowOff>167640</xdr:rowOff>
    </xdr:to>
    <xdr:graphicFrame macro="">
      <xdr:nvGraphicFramePr>
        <xdr:cNvPr id="3" name="Chart 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1DE6FF71-AAAB-43F6-BDA3-131FC5307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685800</xdr:colOff>
      <xdr:row>77</xdr:row>
      <xdr:rowOff>167640</xdr:rowOff>
    </xdr:to>
    <xdr:graphicFrame macro="">
      <xdr:nvGraphicFramePr>
        <xdr:cNvPr id="4" name="Chart 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6B23311A-F6B8-4E25-9014-135E5F6F6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63</xdr:row>
      <xdr:rowOff>0</xdr:rowOff>
    </xdr:from>
    <xdr:to>
      <xdr:col>15</xdr:col>
      <xdr:colOff>552449</xdr:colOff>
      <xdr:row>77</xdr:row>
      <xdr:rowOff>167640</xdr:rowOff>
    </xdr:to>
    <xdr:graphicFrame macro="">
      <xdr:nvGraphicFramePr>
        <xdr:cNvPr id="5" name="Chart 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EC938347-FB33-42CE-A2DB-FAC575B03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79</xdr:row>
      <xdr:rowOff>0</xdr:rowOff>
    </xdr:from>
    <xdr:to>
      <xdr:col>3</xdr:col>
      <xdr:colOff>676273</xdr:colOff>
      <xdr:row>93</xdr:row>
      <xdr:rowOff>167640</xdr:rowOff>
    </xdr:to>
    <xdr:graphicFrame macro="">
      <xdr:nvGraphicFramePr>
        <xdr:cNvPr id="6" name="Chart 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5D17779C-819A-4AAB-8A88-417A9E41F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79</xdr:row>
      <xdr:rowOff>0</xdr:rowOff>
    </xdr:from>
    <xdr:to>
      <xdr:col>8</xdr:col>
      <xdr:colOff>685800</xdr:colOff>
      <xdr:row>93</xdr:row>
      <xdr:rowOff>167640</xdr:rowOff>
    </xdr:to>
    <xdr:graphicFrame macro="">
      <xdr:nvGraphicFramePr>
        <xdr:cNvPr id="7" name="Chart 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81515B8A-301E-419C-840A-086827961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95</xdr:row>
      <xdr:rowOff>0</xdr:rowOff>
    </xdr:from>
    <xdr:to>
      <xdr:col>3</xdr:col>
      <xdr:colOff>685800</xdr:colOff>
      <xdr:row>109</xdr:row>
      <xdr:rowOff>167640</xdr:rowOff>
    </xdr:to>
    <xdr:graphicFrame macro="">
      <xdr:nvGraphicFramePr>
        <xdr:cNvPr id="8" name="Chart 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9FF3A9ED-74EC-45C8-A59F-021A3A66D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95</xdr:row>
      <xdr:rowOff>0</xdr:rowOff>
    </xdr:from>
    <xdr:to>
      <xdr:col>8</xdr:col>
      <xdr:colOff>685800</xdr:colOff>
      <xdr:row>109</xdr:row>
      <xdr:rowOff>167640</xdr:rowOff>
    </xdr:to>
    <xdr:graphicFrame macro="">
      <xdr:nvGraphicFramePr>
        <xdr:cNvPr id="9" name="Chart 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D2188AF9-E649-49EA-BCE0-69866D45D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15</xdr:col>
      <xdr:colOff>552450</xdr:colOff>
      <xdr:row>109</xdr:row>
      <xdr:rowOff>167640</xdr:rowOff>
    </xdr:to>
    <xdr:graphicFrame macro="">
      <xdr:nvGraphicFramePr>
        <xdr:cNvPr id="10" name="Chart 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5DE32EF1-38D5-498F-9832-DBEC6DF34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63</xdr:row>
      <xdr:rowOff>0</xdr:rowOff>
    </xdr:from>
    <xdr:to>
      <xdr:col>3</xdr:col>
      <xdr:colOff>666749</xdr:colOff>
      <xdr:row>77</xdr:row>
      <xdr:rowOff>167640</xdr:rowOff>
    </xdr:to>
    <xdr:graphicFrame macro="">
      <xdr:nvGraphicFramePr>
        <xdr:cNvPr id="3" name="Chart 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68912D01-9401-45AF-A544-1C44C9E6A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685800</xdr:colOff>
      <xdr:row>77</xdr:row>
      <xdr:rowOff>167640</xdr:rowOff>
    </xdr:to>
    <xdr:graphicFrame macro="">
      <xdr:nvGraphicFramePr>
        <xdr:cNvPr id="4" name="Chart 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FA406EC4-BDC8-4A60-AF75-2C5896B41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63</xdr:row>
      <xdr:rowOff>0</xdr:rowOff>
    </xdr:from>
    <xdr:to>
      <xdr:col>15</xdr:col>
      <xdr:colOff>552449</xdr:colOff>
      <xdr:row>77</xdr:row>
      <xdr:rowOff>167640</xdr:rowOff>
    </xdr:to>
    <xdr:graphicFrame macro="">
      <xdr:nvGraphicFramePr>
        <xdr:cNvPr id="5" name="Chart 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F2403E58-A713-4756-96E7-B2355B0F1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79</xdr:row>
      <xdr:rowOff>0</xdr:rowOff>
    </xdr:from>
    <xdr:to>
      <xdr:col>3</xdr:col>
      <xdr:colOff>676273</xdr:colOff>
      <xdr:row>93</xdr:row>
      <xdr:rowOff>167640</xdr:rowOff>
    </xdr:to>
    <xdr:graphicFrame macro="">
      <xdr:nvGraphicFramePr>
        <xdr:cNvPr id="6" name="Chart 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CF95750E-B7BC-4EBA-9FD9-6C887B45B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1036320</xdr:colOff>
      <xdr:row>79</xdr:row>
      <xdr:rowOff>0</xdr:rowOff>
    </xdr:from>
    <xdr:to>
      <xdr:col>8</xdr:col>
      <xdr:colOff>662940</xdr:colOff>
      <xdr:row>93</xdr:row>
      <xdr:rowOff>167640</xdr:rowOff>
    </xdr:to>
    <xdr:graphicFrame macro="">
      <xdr:nvGraphicFramePr>
        <xdr:cNvPr id="7" name="Chart 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9B4216FF-A375-412E-AE49-A60BEBFBE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95</xdr:row>
      <xdr:rowOff>0</xdr:rowOff>
    </xdr:from>
    <xdr:to>
      <xdr:col>3</xdr:col>
      <xdr:colOff>685800</xdr:colOff>
      <xdr:row>109</xdr:row>
      <xdr:rowOff>167640</xdr:rowOff>
    </xdr:to>
    <xdr:graphicFrame macro="">
      <xdr:nvGraphicFramePr>
        <xdr:cNvPr id="8" name="Chart 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0BBB253D-B30A-4457-AC4C-8304FFBC1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95</xdr:row>
      <xdr:rowOff>0</xdr:rowOff>
    </xdr:from>
    <xdr:to>
      <xdr:col>8</xdr:col>
      <xdr:colOff>685800</xdr:colOff>
      <xdr:row>109</xdr:row>
      <xdr:rowOff>167640</xdr:rowOff>
    </xdr:to>
    <xdr:graphicFrame macro="">
      <xdr:nvGraphicFramePr>
        <xdr:cNvPr id="9" name="Chart 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B7C108E5-AEDB-46DE-B00E-45AC578C2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15</xdr:col>
      <xdr:colOff>552450</xdr:colOff>
      <xdr:row>109</xdr:row>
      <xdr:rowOff>167640</xdr:rowOff>
    </xdr:to>
    <xdr:graphicFrame macro="">
      <xdr:nvGraphicFramePr>
        <xdr:cNvPr id="10" name="Chart 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FB4F65ED-D796-45F6-8E1D-1396AEB1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63</xdr:row>
      <xdr:rowOff>0</xdr:rowOff>
    </xdr:from>
    <xdr:to>
      <xdr:col>3</xdr:col>
      <xdr:colOff>666749</xdr:colOff>
      <xdr:row>77</xdr:row>
      <xdr:rowOff>167640</xdr:rowOff>
    </xdr:to>
    <xdr:graphicFrame macro="">
      <xdr:nvGraphicFramePr>
        <xdr:cNvPr id="3" name="Chart 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8296AEA5-26E1-432D-AC0F-24906D06D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685800</xdr:colOff>
      <xdr:row>77</xdr:row>
      <xdr:rowOff>167640</xdr:rowOff>
    </xdr:to>
    <xdr:graphicFrame macro="">
      <xdr:nvGraphicFramePr>
        <xdr:cNvPr id="4" name="Chart 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A06EAD30-9B8F-49D3-A25D-83B7AC9CC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63</xdr:row>
      <xdr:rowOff>0</xdr:rowOff>
    </xdr:from>
    <xdr:to>
      <xdr:col>15</xdr:col>
      <xdr:colOff>552449</xdr:colOff>
      <xdr:row>77</xdr:row>
      <xdr:rowOff>167640</xdr:rowOff>
    </xdr:to>
    <xdr:graphicFrame macro="">
      <xdr:nvGraphicFramePr>
        <xdr:cNvPr id="5" name="Chart 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F7C97AE9-81E5-4462-8E0A-A1DC50F1C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79</xdr:row>
      <xdr:rowOff>0</xdr:rowOff>
    </xdr:from>
    <xdr:to>
      <xdr:col>3</xdr:col>
      <xdr:colOff>676273</xdr:colOff>
      <xdr:row>93</xdr:row>
      <xdr:rowOff>167640</xdr:rowOff>
    </xdr:to>
    <xdr:graphicFrame macro="">
      <xdr:nvGraphicFramePr>
        <xdr:cNvPr id="6" name="Chart 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4982CC31-E38C-4A34-8C68-52A6F5D72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79</xdr:row>
      <xdr:rowOff>0</xdr:rowOff>
    </xdr:from>
    <xdr:to>
      <xdr:col>8</xdr:col>
      <xdr:colOff>685800</xdr:colOff>
      <xdr:row>93</xdr:row>
      <xdr:rowOff>167640</xdr:rowOff>
    </xdr:to>
    <xdr:graphicFrame macro="">
      <xdr:nvGraphicFramePr>
        <xdr:cNvPr id="7" name="Chart 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A6E43663-F0EB-4E0D-8F7C-5C0F70FA1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95</xdr:row>
      <xdr:rowOff>0</xdr:rowOff>
    </xdr:from>
    <xdr:to>
      <xdr:col>3</xdr:col>
      <xdr:colOff>685800</xdr:colOff>
      <xdr:row>109</xdr:row>
      <xdr:rowOff>167640</xdr:rowOff>
    </xdr:to>
    <xdr:graphicFrame macro="">
      <xdr:nvGraphicFramePr>
        <xdr:cNvPr id="8" name="Chart 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D14EEB07-3F03-4B33-8F90-B90A6A3FD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95</xdr:row>
      <xdr:rowOff>0</xdr:rowOff>
    </xdr:from>
    <xdr:to>
      <xdr:col>8</xdr:col>
      <xdr:colOff>685800</xdr:colOff>
      <xdr:row>109</xdr:row>
      <xdr:rowOff>167640</xdr:rowOff>
    </xdr:to>
    <xdr:graphicFrame macro="">
      <xdr:nvGraphicFramePr>
        <xdr:cNvPr id="9" name="Chart 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F7832BD9-9A9B-4C37-A104-1DC216B43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15</xdr:col>
      <xdr:colOff>552450</xdr:colOff>
      <xdr:row>109</xdr:row>
      <xdr:rowOff>167640</xdr:rowOff>
    </xdr:to>
    <xdr:graphicFrame macro="">
      <xdr:nvGraphicFramePr>
        <xdr:cNvPr id="10" name="Chart 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F2BC0F94-A0EE-4C36-B2F2-A0EDBAFA1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63</xdr:row>
      <xdr:rowOff>0</xdr:rowOff>
    </xdr:from>
    <xdr:to>
      <xdr:col>3</xdr:col>
      <xdr:colOff>666749</xdr:colOff>
      <xdr:row>77</xdr:row>
      <xdr:rowOff>167640</xdr:rowOff>
    </xdr:to>
    <xdr:graphicFrame macro="">
      <xdr:nvGraphicFramePr>
        <xdr:cNvPr id="3" name="Chart 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14BB5962-2598-4E33-BE67-5D5544CB1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685800</xdr:colOff>
      <xdr:row>77</xdr:row>
      <xdr:rowOff>167640</xdr:rowOff>
    </xdr:to>
    <xdr:graphicFrame macro="">
      <xdr:nvGraphicFramePr>
        <xdr:cNvPr id="4" name="Chart 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74C8558E-8279-45A0-B24F-3A02785E7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63</xdr:row>
      <xdr:rowOff>0</xdr:rowOff>
    </xdr:from>
    <xdr:to>
      <xdr:col>15</xdr:col>
      <xdr:colOff>552449</xdr:colOff>
      <xdr:row>77</xdr:row>
      <xdr:rowOff>167640</xdr:rowOff>
    </xdr:to>
    <xdr:graphicFrame macro="">
      <xdr:nvGraphicFramePr>
        <xdr:cNvPr id="5" name="Chart 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E02632D2-7FCF-438B-9B26-59B35E75D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79</xdr:row>
      <xdr:rowOff>0</xdr:rowOff>
    </xdr:from>
    <xdr:to>
      <xdr:col>3</xdr:col>
      <xdr:colOff>676273</xdr:colOff>
      <xdr:row>93</xdr:row>
      <xdr:rowOff>167640</xdr:rowOff>
    </xdr:to>
    <xdr:graphicFrame macro="">
      <xdr:nvGraphicFramePr>
        <xdr:cNvPr id="6" name="Chart 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19C04E8F-221D-4F9C-BD25-BBF4D093A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79</xdr:row>
      <xdr:rowOff>0</xdr:rowOff>
    </xdr:from>
    <xdr:to>
      <xdr:col>8</xdr:col>
      <xdr:colOff>685800</xdr:colOff>
      <xdr:row>93</xdr:row>
      <xdr:rowOff>167640</xdr:rowOff>
    </xdr:to>
    <xdr:graphicFrame macro="">
      <xdr:nvGraphicFramePr>
        <xdr:cNvPr id="7" name="Chart 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7A3EF8CF-81DF-41B3-B3EC-35FE01425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95</xdr:row>
      <xdr:rowOff>0</xdr:rowOff>
    </xdr:from>
    <xdr:to>
      <xdr:col>3</xdr:col>
      <xdr:colOff>685800</xdr:colOff>
      <xdr:row>109</xdr:row>
      <xdr:rowOff>167640</xdr:rowOff>
    </xdr:to>
    <xdr:graphicFrame macro="">
      <xdr:nvGraphicFramePr>
        <xdr:cNvPr id="8" name="Chart 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31226BFA-5758-4F02-960C-251AACEB4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95</xdr:row>
      <xdr:rowOff>0</xdr:rowOff>
    </xdr:from>
    <xdr:to>
      <xdr:col>8</xdr:col>
      <xdr:colOff>685800</xdr:colOff>
      <xdr:row>109</xdr:row>
      <xdr:rowOff>167640</xdr:rowOff>
    </xdr:to>
    <xdr:graphicFrame macro="">
      <xdr:nvGraphicFramePr>
        <xdr:cNvPr id="9" name="Chart 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74F238CF-00A2-4469-9051-8081F8EBB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15</xdr:col>
      <xdr:colOff>552450</xdr:colOff>
      <xdr:row>109</xdr:row>
      <xdr:rowOff>167640</xdr:rowOff>
    </xdr:to>
    <xdr:graphicFrame macro="">
      <xdr:nvGraphicFramePr>
        <xdr:cNvPr id="10" name="Chart 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AAF7B8EF-4B26-417A-9BFA-49DF7C788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63</xdr:row>
      <xdr:rowOff>0</xdr:rowOff>
    </xdr:from>
    <xdr:to>
      <xdr:col>3</xdr:col>
      <xdr:colOff>666749</xdr:colOff>
      <xdr:row>77</xdr:row>
      <xdr:rowOff>167640</xdr:rowOff>
    </xdr:to>
    <xdr:graphicFrame macro="">
      <xdr:nvGraphicFramePr>
        <xdr:cNvPr id="3" name="Chart 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7F36AC2B-7158-4392-B127-1A83BE6F8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685800</xdr:colOff>
      <xdr:row>77</xdr:row>
      <xdr:rowOff>167640</xdr:rowOff>
    </xdr:to>
    <xdr:graphicFrame macro="">
      <xdr:nvGraphicFramePr>
        <xdr:cNvPr id="4" name="Chart 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4CB887E6-2D04-4442-88B0-BCFEB2EB2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63</xdr:row>
      <xdr:rowOff>0</xdr:rowOff>
    </xdr:from>
    <xdr:to>
      <xdr:col>15</xdr:col>
      <xdr:colOff>552449</xdr:colOff>
      <xdr:row>77</xdr:row>
      <xdr:rowOff>167640</xdr:rowOff>
    </xdr:to>
    <xdr:graphicFrame macro="">
      <xdr:nvGraphicFramePr>
        <xdr:cNvPr id="5" name="Chart 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67714816-FD66-4AC7-BE40-B3C2F4F57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79</xdr:row>
      <xdr:rowOff>0</xdr:rowOff>
    </xdr:from>
    <xdr:to>
      <xdr:col>3</xdr:col>
      <xdr:colOff>676273</xdr:colOff>
      <xdr:row>93</xdr:row>
      <xdr:rowOff>167640</xdr:rowOff>
    </xdr:to>
    <xdr:graphicFrame macro="">
      <xdr:nvGraphicFramePr>
        <xdr:cNvPr id="6" name="Chart 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FAAF1375-82F4-4F06-83FE-892CF28D6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79</xdr:row>
      <xdr:rowOff>0</xdr:rowOff>
    </xdr:from>
    <xdr:to>
      <xdr:col>8</xdr:col>
      <xdr:colOff>685800</xdr:colOff>
      <xdr:row>93</xdr:row>
      <xdr:rowOff>167640</xdr:rowOff>
    </xdr:to>
    <xdr:graphicFrame macro="">
      <xdr:nvGraphicFramePr>
        <xdr:cNvPr id="7" name="Chart 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5AFB33B1-67A8-4E49-ABD9-787B1CDEE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95</xdr:row>
      <xdr:rowOff>0</xdr:rowOff>
    </xdr:from>
    <xdr:to>
      <xdr:col>3</xdr:col>
      <xdr:colOff>685800</xdr:colOff>
      <xdr:row>109</xdr:row>
      <xdr:rowOff>167640</xdr:rowOff>
    </xdr:to>
    <xdr:graphicFrame macro="">
      <xdr:nvGraphicFramePr>
        <xdr:cNvPr id="8" name="Chart 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BB166467-241D-4703-93EA-99D00129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95</xdr:row>
      <xdr:rowOff>0</xdr:rowOff>
    </xdr:from>
    <xdr:to>
      <xdr:col>8</xdr:col>
      <xdr:colOff>685800</xdr:colOff>
      <xdr:row>109</xdr:row>
      <xdr:rowOff>167640</xdr:rowOff>
    </xdr:to>
    <xdr:graphicFrame macro="">
      <xdr:nvGraphicFramePr>
        <xdr:cNvPr id="9" name="Chart 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11BFE034-4717-4018-A066-2A56F3674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15</xdr:col>
      <xdr:colOff>552450</xdr:colOff>
      <xdr:row>109</xdr:row>
      <xdr:rowOff>167640</xdr:rowOff>
    </xdr:to>
    <xdr:graphicFrame macro="">
      <xdr:nvGraphicFramePr>
        <xdr:cNvPr id="10" name="Chart 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20A88C54-321B-47B1-A71F-858452802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63</xdr:row>
      <xdr:rowOff>0</xdr:rowOff>
    </xdr:from>
    <xdr:to>
      <xdr:col>3</xdr:col>
      <xdr:colOff>666749</xdr:colOff>
      <xdr:row>77</xdr:row>
      <xdr:rowOff>167640</xdr:rowOff>
    </xdr:to>
    <xdr:graphicFrame macro="">
      <xdr:nvGraphicFramePr>
        <xdr:cNvPr id="3" name="Chart 2" descr="This chart displays 2009-2016 trendlines for the selected MPO area for these 3 annual exposure measures for biking and walking combined: trips, miles of travel, and hours of travel.">
          <a:extLst>
            <a:ext uri="{FF2B5EF4-FFF2-40B4-BE49-F238E27FC236}">
              <a16:creationId xmlns:a16="http://schemas.microsoft.com/office/drawing/2014/main" id="{E7E25616-383F-49C6-9D0B-65D5AFC53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685800</xdr:colOff>
      <xdr:row>77</xdr:row>
      <xdr:rowOff>167640</xdr:rowOff>
    </xdr:to>
    <xdr:graphicFrame macro="">
      <xdr:nvGraphicFramePr>
        <xdr:cNvPr id="4" name="Chart 3" descr="This chart displays 2009-2016 trendlines for the selected MPO area for these 3 annual exposure measures for walking: trips, miles of travel, and hours of travel.">
          <a:extLst>
            <a:ext uri="{FF2B5EF4-FFF2-40B4-BE49-F238E27FC236}">
              <a16:creationId xmlns:a16="http://schemas.microsoft.com/office/drawing/2014/main" id="{9D4F9D3B-699E-4399-881B-A32FB1DF3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971549</xdr:colOff>
      <xdr:row>63</xdr:row>
      <xdr:rowOff>0</xdr:rowOff>
    </xdr:from>
    <xdr:to>
      <xdr:col>15</xdr:col>
      <xdr:colOff>552449</xdr:colOff>
      <xdr:row>77</xdr:row>
      <xdr:rowOff>167640</xdr:rowOff>
    </xdr:to>
    <xdr:graphicFrame macro="">
      <xdr:nvGraphicFramePr>
        <xdr:cNvPr id="5" name="Chart 4" descr="This chart displays 2009-2016 trendlines for the selected MPO area for these 3 annual exposure measures for bicycling: trips, miles of travel, and hours of travel.">
          <a:extLst>
            <a:ext uri="{FF2B5EF4-FFF2-40B4-BE49-F238E27FC236}">
              <a16:creationId xmlns:a16="http://schemas.microsoft.com/office/drawing/2014/main" id="{4866AC5C-DD32-473F-92E6-03767B666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180973</xdr:colOff>
      <xdr:row>79</xdr:row>
      <xdr:rowOff>0</xdr:rowOff>
    </xdr:from>
    <xdr:to>
      <xdr:col>3</xdr:col>
      <xdr:colOff>676273</xdr:colOff>
      <xdr:row>93</xdr:row>
      <xdr:rowOff>167640</xdr:rowOff>
    </xdr:to>
    <xdr:graphicFrame macro="">
      <xdr:nvGraphicFramePr>
        <xdr:cNvPr id="6" name="Chart 5" descr="This chart displays 2009-2016 fatality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3567D1B8-35B6-4B51-AC6B-EEC7AC6FF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79</xdr:row>
      <xdr:rowOff>0</xdr:rowOff>
    </xdr:from>
    <xdr:to>
      <xdr:col>8</xdr:col>
      <xdr:colOff>685800</xdr:colOff>
      <xdr:row>93</xdr:row>
      <xdr:rowOff>167640</xdr:rowOff>
    </xdr:to>
    <xdr:graphicFrame macro="">
      <xdr:nvGraphicFramePr>
        <xdr:cNvPr id="7" name="Chart 6" descr="This chart displays 2009-2016 risk (fatalities per million hours of travel) trendlines for the selected MPO area for these 3 modes: walking, bicycling, and all non-motorized. ">
          <a:extLst>
            <a:ext uri="{FF2B5EF4-FFF2-40B4-BE49-F238E27FC236}">
              <a16:creationId xmlns:a16="http://schemas.microsoft.com/office/drawing/2014/main" id="{50AEF3EA-D2FE-4C99-AAEA-3AEF9E3F0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95</xdr:row>
      <xdr:rowOff>0</xdr:rowOff>
    </xdr:from>
    <xdr:to>
      <xdr:col>3</xdr:col>
      <xdr:colOff>685800</xdr:colOff>
      <xdr:row>109</xdr:row>
      <xdr:rowOff>167640</xdr:rowOff>
    </xdr:to>
    <xdr:graphicFrame macro="">
      <xdr:nvGraphicFramePr>
        <xdr:cNvPr id="8" name="Chart 7" descr="This chart displays 2009-2016 annual trips for the selected MPO area for these 2 modes: walking and bicycling. ">
          <a:extLst>
            <a:ext uri="{FF2B5EF4-FFF2-40B4-BE49-F238E27FC236}">
              <a16:creationId xmlns:a16="http://schemas.microsoft.com/office/drawing/2014/main" id="{1679F135-BFB6-4E81-915C-DA766EBDB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95</xdr:row>
      <xdr:rowOff>0</xdr:rowOff>
    </xdr:from>
    <xdr:to>
      <xdr:col>8</xdr:col>
      <xdr:colOff>685800</xdr:colOff>
      <xdr:row>109</xdr:row>
      <xdr:rowOff>167640</xdr:rowOff>
    </xdr:to>
    <xdr:graphicFrame macro="">
      <xdr:nvGraphicFramePr>
        <xdr:cNvPr id="9" name="Chart 8" descr="This chart displays 2009-2016 annual miles of travel for the selected MPO area for these 2 modes: walking and bicycling. ">
          <a:extLst>
            <a:ext uri="{FF2B5EF4-FFF2-40B4-BE49-F238E27FC236}">
              <a16:creationId xmlns:a16="http://schemas.microsoft.com/office/drawing/2014/main" id="{3E3520AD-AACD-4D91-904A-B8890AEEF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15</xdr:col>
      <xdr:colOff>552450</xdr:colOff>
      <xdr:row>109</xdr:row>
      <xdr:rowOff>167640</xdr:rowOff>
    </xdr:to>
    <xdr:graphicFrame macro="">
      <xdr:nvGraphicFramePr>
        <xdr:cNvPr id="10" name="Chart 9" descr="This chart displays 2009-2016 annual hours of travel for the selected MPO area for these 2 modes: walking and bicycling. ">
          <a:extLst>
            <a:ext uri="{FF2B5EF4-FFF2-40B4-BE49-F238E27FC236}">
              <a16:creationId xmlns:a16="http://schemas.microsoft.com/office/drawing/2014/main" id="{0B5C31BA-7A16-4FD6-9EA2-B6EA7D8FD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LTRC%20Phase%202\Assorted%20Data%20and%20Work\areawide-non-motorized_exposure_tool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Statewide Exposure Estimates"/>
      <sheetName val="Census Division Bike Groupings"/>
      <sheetName val="Census Division Walk Groupings"/>
      <sheetName val="State Travel Data"/>
      <sheetName val="MPO Area Exposure Estimates"/>
      <sheetName val="CBSA Bike Groupings"/>
      <sheetName val="CBSA Walk Groupings"/>
      <sheetName val="MPO Lookup List"/>
      <sheetName val="MPO Travel Data"/>
      <sheetName val="Appendix State Census Divisions"/>
      <sheetName val="Appendix MPO Peer Groups"/>
    </sheetNames>
    <sheetDataSet>
      <sheetData sheetId="0" refreshError="1"/>
      <sheetData sheetId="1" refreshError="1">
        <row r="7">
          <cell r="C7">
            <v>2013</v>
          </cell>
          <cell r="D7">
            <v>2014</v>
          </cell>
          <cell r="E7">
            <v>2015</v>
          </cell>
          <cell r="F7">
            <v>2016</v>
          </cell>
          <cell r="G7">
            <v>2017</v>
          </cell>
        </row>
        <row r="17">
          <cell r="C17">
            <v>420195672.33472782</v>
          </cell>
          <cell r="D17">
            <v>458213545.79582208</v>
          </cell>
          <cell r="E17">
            <v>513110750.02194428</v>
          </cell>
          <cell r="F17">
            <v>415051771.04174006</v>
          </cell>
          <cell r="G17">
            <v>422650635.73905206</v>
          </cell>
        </row>
        <row r="21">
          <cell r="C21">
            <v>403152026.79041111</v>
          </cell>
          <cell r="D21">
            <v>439627849.24460351</v>
          </cell>
          <cell r="E21">
            <v>492298356.35838932</v>
          </cell>
          <cell r="F21">
            <v>398216768.36579353</v>
          </cell>
          <cell r="G21">
            <v>405507413.90482479</v>
          </cell>
        </row>
        <row r="25">
          <cell r="C25">
            <v>102794842.47432053</v>
          </cell>
          <cell r="D25">
            <v>112095369.75468883</v>
          </cell>
          <cell r="E25">
            <v>125525183.13032374</v>
          </cell>
          <cell r="F25">
            <v>101536460.82517561</v>
          </cell>
          <cell r="G25">
            <v>103395414.04857202</v>
          </cell>
        </row>
        <row r="26">
          <cell r="C26">
            <v>97</v>
          </cell>
          <cell r="D26">
            <v>105</v>
          </cell>
          <cell r="E26">
            <v>106</v>
          </cell>
          <cell r="F26">
            <v>127</v>
          </cell>
          <cell r="G26">
            <v>115</v>
          </cell>
        </row>
        <row r="27">
          <cell r="C27">
            <v>0.94362710876503209</v>
          </cell>
          <cell r="D27">
            <v>0.93670238324547705</v>
          </cell>
          <cell r="E27">
            <v>0.84445206417223739</v>
          </cell>
          <cell r="F27">
            <v>1.2507822211635606</v>
          </cell>
          <cell r="G27">
            <v>1.1122350160131522</v>
          </cell>
        </row>
        <row r="41">
          <cell r="C41">
            <v>47363487.42570252</v>
          </cell>
          <cell r="D41">
            <v>40106941.189535491</v>
          </cell>
          <cell r="E41">
            <v>45823784.979756042</v>
          </cell>
          <cell r="F41">
            <v>40957121.393891044</v>
          </cell>
          <cell r="G41">
            <v>49508058.334519409</v>
          </cell>
        </row>
        <row r="45">
          <cell r="C45">
            <v>73856012.063413501</v>
          </cell>
          <cell r="D45">
            <v>62540553.775047801</v>
          </cell>
          <cell r="E45">
            <v>71455084.923065707</v>
          </cell>
          <cell r="F45">
            <v>63866277.931814276</v>
          </cell>
          <cell r="G45">
            <v>77200137.750122815</v>
          </cell>
        </row>
        <row r="49">
          <cell r="C49">
            <v>14477636.091830093</v>
          </cell>
          <cell r="D49">
            <v>12259521.645431569</v>
          </cell>
          <cell r="E49">
            <v>14006993.980919629</v>
          </cell>
          <cell r="F49">
            <v>12519396.926584493</v>
          </cell>
          <cell r="G49">
            <v>15133168.84244692</v>
          </cell>
        </row>
        <row r="50">
          <cell r="C50">
            <v>14</v>
          </cell>
          <cell r="D50">
            <v>13</v>
          </cell>
          <cell r="E50">
            <v>34</v>
          </cell>
          <cell r="F50">
            <v>22</v>
          </cell>
          <cell r="G50">
            <v>23</v>
          </cell>
        </row>
        <row r="51">
          <cell r="C51">
            <v>0.96700869611582307</v>
          </cell>
          <cell r="D51">
            <v>1.060400264870397</v>
          </cell>
          <cell r="E51">
            <v>2.4273587927798714</v>
          </cell>
          <cell r="F51">
            <v>1.7572731441467269</v>
          </cell>
          <cell r="G51">
            <v>1.5198403083620835</v>
          </cell>
        </row>
        <row r="55">
          <cell r="C55">
            <v>2013</v>
          </cell>
          <cell r="D55">
            <v>2014</v>
          </cell>
          <cell r="E55">
            <v>2015</v>
          </cell>
          <cell r="F55">
            <v>2016</v>
          </cell>
          <cell r="G55">
            <v>2017</v>
          </cell>
        </row>
        <row r="56">
          <cell r="C56">
            <v>467559159.76043034</v>
          </cell>
          <cell r="D56">
            <v>498320486.98535758</v>
          </cell>
          <cell r="E56">
            <v>558934535.00170028</v>
          </cell>
          <cell r="F56">
            <v>456008892.4356311</v>
          </cell>
          <cell r="G56">
            <v>472158694.07357144</v>
          </cell>
        </row>
        <row r="57">
          <cell r="C57">
            <v>477008038.85382462</v>
          </cell>
          <cell r="D57">
            <v>502168403.01965129</v>
          </cell>
          <cell r="E57">
            <v>563753441.28145504</v>
          </cell>
          <cell r="F57">
            <v>462083046.29760778</v>
          </cell>
          <cell r="G57">
            <v>482707551.65494764</v>
          </cell>
        </row>
        <row r="58">
          <cell r="C58">
            <v>117272478.56615062</v>
          </cell>
          <cell r="D58">
            <v>124354891.40012039</v>
          </cell>
          <cell r="E58">
            <v>139532177.11124337</v>
          </cell>
          <cell r="F58">
            <v>114055857.75176011</v>
          </cell>
          <cell r="G58">
            <v>118528582.89101894</v>
          </cell>
        </row>
        <row r="59">
          <cell r="C59">
            <v>111</v>
          </cell>
          <cell r="D59">
            <v>118</v>
          </cell>
          <cell r="E59">
            <v>140</v>
          </cell>
          <cell r="F59">
            <v>149</v>
          </cell>
          <cell r="G59">
            <v>138</v>
          </cell>
        </row>
        <row r="60">
          <cell r="C60">
            <v>0.94651363522932219</v>
          </cell>
          <cell r="D60">
            <v>0.94889713361034511</v>
          </cell>
          <cell r="E60">
            <v>1.0033527957381734</v>
          </cell>
          <cell r="F60">
            <v>1.3063774446753535</v>
          </cell>
          <cell r="G60">
            <v>1.1642761318329777</v>
          </cell>
        </row>
      </sheetData>
      <sheetData sheetId="2" refreshError="1"/>
      <sheetData sheetId="3" refreshError="1"/>
      <sheetData sheetId="4" refreshError="1"/>
      <sheetData sheetId="5" refreshError="1">
        <row r="9">
          <cell r="C9">
            <v>2013</v>
          </cell>
          <cell r="D9">
            <v>2014</v>
          </cell>
          <cell r="E9">
            <v>2015</v>
          </cell>
          <cell r="F9">
            <v>2016</v>
          </cell>
          <cell r="G9">
            <v>2017</v>
          </cell>
        </row>
        <row r="57">
          <cell r="C57">
            <v>2013</v>
          </cell>
          <cell r="D57">
            <v>2014</v>
          </cell>
          <cell r="E57">
            <v>2015</v>
          </cell>
          <cell r="F57">
            <v>2016</v>
          </cell>
          <cell r="G57">
            <v>2017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41" workbookViewId="0">
      <selection activeCell="H14" sqref="H14"/>
    </sheetView>
  </sheetViews>
  <sheetFormatPr defaultRowHeight="15" x14ac:dyDescent="0.25"/>
  <cols>
    <col min="1" max="1" width="38.28515625" bestFit="1" customWidth="1"/>
    <col min="2" max="2" width="16.42578125" bestFit="1" customWidth="1"/>
    <col min="3" max="10" width="14.5703125" customWidth="1"/>
  </cols>
  <sheetData>
    <row r="1" spans="1:14" x14ac:dyDescent="0.25">
      <c r="A1" s="1" t="s">
        <v>0</v>
      </c>
      <c r="B1" s="1"/>
    </row>
    <row r="3" spans="1:14" ht="15" customHeight="1" x14ac:dyDescent="0.25">
      <c r="A3" s="2" t="s">
        <v>1</v>
      </c>
      <c r="B3" s="115" t="s">
        <v>2</v>
      </c>
      <c r="C3" s="115"/>
      <c r="D3" s="115"/>
      <c r="F3" s="3"/>
      <c r="G3" s="3"/>
      <c r="H3" s="3"/>
      <c r="I3" s="3"/>
    </row>
    <row r="4" spans="1:14" ht="15" customHeight="1" x14ac:dyDescent="0.25"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thickBot="1" x14ac:dyDescent="0.3">
      <c r="B5" s="4"/>
      <c r="C5" s="5"/>
      <c r="D5" s="5"/>
      <c r="E5" s="5"/>
      <c r="F5" s="3"/>
      <c r="G5" s="3"/>
      <c r="H5" s="3"/>
      <c r="I5" s="3"/>
      <c r="J5" s="3"/>
      <c r="K5" s="3"/>
      <c r="L5" s="3"/>
      <c r="M5" s="3"/>
      <c r="N5" s="3"/>
    </row>
    <row r="6" spans="1:14" ht="15.75" thickTop="1" x14ac:dyDescent="0.25">
      <c r="A6" s="116"/>
      <c r="B6" s="117"/>
      <c r="C6" s="85" t="s">
        <v>3</v>
      </c>
      <c r="D6" s="86"/>
      <c r="E6" s="86"/>
      <c r="F6" s="86"/>
      <c r="G6" s="87"/>
      <c r="I6" s="3"/>
      <c r="J6" s="3"/>
    </row>
    <row r="7" spans="1:14" ht="15.75" thickBot="1" x14ac:dyDescent="0.3">
      <c r="A7" s="118"/>
      <c r="B7" s="119"/>
      <c r="C7" s="6">
        <v>2013</v>
      </c>
      <c r="D7" s="7">
        <v>2014</v>
      </c>
      <c r="E7" s="7">
        <v>2015</v>
      </c>
      <c r="F7" s="7">
        <v>2016</v>
      </c>
      <c r="G7" s="8">
        <v>2017</v>
      </c>
      <c r="I7" s="3"/>
      <c r="J7" s="3"/>
    </row>
    <row r="8" spans="1:14" ht="15.75" thickTop="1" x14ac:dyDescent="0.25">
      <c r="A8" s="120" t="s">
        <v>4</v>
      </c>
      <c r="B8" s="9" t="s">
        <v>5</v>
      </c>
      <c r="C8" s="10" t="s">
        <v>6</v>
      </c>
      <c r="D8" s="11" t="s">
        <v>6</v>
      </c>
      <c r="E8" s="11" t="s">
        <v>6</v>
      </c>
      <c r="F8" s="11" t="s">
        <v>6</v>
      </c>
      <c r="G8" s="12" t="s">
        <v>6</v>
      </c>
    </row>
    <row r="9" spans="1:14" x14ac:dyDescent="0.25">
      <c r="A9" s="107"/>
      <c r="B9" s="13" t="s">
        <v>7</v>
      </c>
      <c r="C9" s="14">
        <v>0.24288999999999999</v>
      </c>
      <c r="D9" s="14">
        <v>0.24288999999999999</v>
      </c>
      <c r="E9" s="14">
        <v>0.24288999999999999</v>
      </c>
      <c r="F9" s="14">
        <v>0.24288999999999999</v>
      </c>
      <c r="G9" s="14">
        <v>0.24288999999999999</v>
      </c>
    </row>
    <row r="10" spans="1:14" ht="15.75" thickBot="1" x14ac:dyDescent="0.3">
      <c r="A10" s="108"/>
      <c r="B10" s="16" t="s">
        <v>8</v>
      </c>
      <c r="C10" s="17"/>
      <c r="D10" s="17"/>
      <c r="E10" s="17"/>
      <c r="F10" s="17"/>
      <c r="G10" s="18"/>
    </row>
    <row r="11" spans="1:14" x14ac:dyDescent="0.25">
      <c r="A11" s="106" t="s">
        <v>9</v>
      </c>
      <c r="B11" s="19" t="s">
        <v>5</v>
      </c>
      <c r="C11" s="20" t="s">
        <v>6</v>
      </c>
      <c r="D11" s="21" t="s">
        <v>6</v>
      </c>
      <c r="E11" s="21" t="s">
        <v>6</v>
      </c>
      <c r="F11" s="21" t="s">
        <v>6</v>
      </c>
      <c r="G11" s="22" t="s">
        <v>6</v>
      </c>
    </row>
    <row r="12" spans="1:14" x14ac:dyDescent="0.25">
      <c r="A12" s="107"/>
      <c r="B12" s="13" t="s">
        <v>7</v>
      </c>
      <c r="C12" s="23">
        <v>4625470</v>
      </c>
      <c r="D12" s="23">
        <v>4649676</v>
      </c>
      <c r="E12" s="23">
        <v>4670724</v>
      </c>
      <c r="F12" s="23">
        <v>4681666</v>
      </c>
      <c r="G12" s="24">
        <v>4684333</v>
      </c>
    </row>
    <row r="13" spans="1:14" ht="15.75" thickBot="1" x14ac:dyDescent="0.3">
      <c r="A13" s="108"/>
      <c r="B13" s="16" t="s">
        <v>8</v>
      </c>
      <c r="C13" s="17"/>
      <c r="D13" s="17"/>
      <c r="E13" s="17"/>
      <c r="F13" s="17"/>
      <c r="G13" s="18"/>
    </row>
    <row r="14" spans="1:14" x14ac:dyDescent="0.25">
      <c r="A14" s="106" t="s">
        <v>10</v>
      </c>
      <c r="B14" s="19" t="s">
        <v>5</v>
      </c>
      <c r="C14" s="20" t="s">
        <v>6</v>
      </c>
      <c r="D14" s="21" t="s">
        <v>6</v>
      </c>
      <c r="E14" s="21" t="s">
        <v>6</v>
      </c>
      <c r="F14" s="21" t="s">
        <v>6</v>
      </c>
      <c r="G14" s="22" t="s">
        <v>6</v>
      </c>
    </row>
    <row r="15" spans="1:14" x14ac:dyDescent="0.25">
      <c r="A15" s="107"/>
      <c r="B15" s="13" t="s">
        <v>7</v>
      </c>
      <c r="C15" s="14">
        <f>1.02469</f>
        <v>1.0246900000000001</v>
      </c>
      <c r="D15" s="14">
        <f>1.11159</f>
        <v>1.1115900000000001</v>
      </c>
      <c r="E15" s="14">
        <f>1.23915</f>
        <v>1.23915</v>
      </c>
      <c r="F15" s="14">
        <f>1</f>
        <v>1</v>
      </c>
      <c r="G15" s="15">
        <f>1.01773</f>
        <v>1.01773</v>
      </c>
    </row>
    <row r="16" spans="1:14" ht="15.75" thickBot="1" x14ac:dyDescent="0.3">
      <c r="A16" s="108"/>
      <c r="B16" s="16" t="s">
        <v>8</v>
      </c>
      <c r="C16" s="17"/>
      <c r="D16" s="17"/>
      <c r="E16" s="17"/>
      <c r="F16" s="17"/>
      <c r="G16" s="18"/>
    </row>
    <row r="17" spans="1:7" ht="15.75" thickBot="1" x14ac:dyDescent="0.3">
      <c r="A17" s="109" t="s">
        <v>11</v>
      </c>
      <c r="B17" s="110"/>
      <c r="C17" s="25">
        <v>420194985.94703841</v>
      </c>
      <c r="D17" s="26">
        <v>458215548.40678859</v>
      </c>
      <c r="E17" s="26">
        <v>513110126.17286628</v>
      </c>
      <c r="F17" s="26">
        <v>415052396.98009998</v>
      </c>
      <c r="G17" s="27">
        <v>422651910.58876532</v>
      </c>
    </row>
    <row r="18" spans="1:7" x14ac:dyDescent="0.25">
      <c r="A18" s="111" t="s">
        <v>12</v>
      </c>
      <c r="B18" s="19" t="s">
        <v>5</v>
      </c>
      <c r="C18" s="20" t="s">
        <v>6</v>
      </c>
      <c r="D18" s="21" t="s">
        <v>6</v>
      </c>
      <c r="E18" s="21" t="s">
        <v>6</v>
      </c>
      <c r="F18" s="21" t="s">
        <v>6</v>
      </c>
      <c r="G18" s="22" t="s">
        <v>6</v>
      </c>
    </row>
    <row r="19" spans="1:7" x14ac:dyDescent="0.25">
      <c r="A19" s="112"/>
      <c r="B19" s="13" t="s">
        <v>7</v>
      </c>
      <c r="C19" s="14">
        <f>0.95944</f>
        <v>0.95943999999999996</v>
      </c>
      <c r="D19" s="14">
        <f t="shared" ref="D19:G19" si="0">0.95944</f>
        <v>0.95943999999999996</v>
      </c>
      <c r="E19" s="14">
        <f t="shared" si="0"/>
        <v>0.95943999999999996</v>
      </c>
      <c r="F19" s="14">
        <f t="shared" si="0"/>
        <v>0.95943999999999996</v>
      </c>
      <c r="G19" s="14">
        <f t="shared" si="0"/>
        <v>0.95943999999999996</v>
      </c>
    </row>
    <row r="20" spans="1:7" ht="15.75" thickBot="1" x14ac:dyDescent="0.3">
      <c r="A20" s="113"/>
      <c r="B20" s="16" t="s">
        <v>8</v>
      </c>
      <c r="C20" s="17"/>
      <c r="D20" s="17"/>
      <c r="E20" s="17"/>
      <c r="F20" s="17"/>
      <c r="G20" s="18"/>
    </row>
    <row r="21" spans="1:7" ht="15.75" thickBot="1" x14ac:dyDescent="0.3">
      <c r="A21" s="109" t="s">
        <v>13</v>
      </c>
      <c r="B21" s="110"/>
      <c r="C21" s="25">
        <v>403151877.3170265</v>
      </c>
      <c r="D21" s="26">
        <v>439630325.7634092</v>
      </c>
      <c r="E21" s="26">
        <v>492298379.45529479</v>
      </c>
      <c r="F21" s="26">
        <v>398217871.75858712</v>
      </c>
      <c r="G21" s="27">
        <v>405509149.095285</v>
      </c>
    </row>
    <row r="22" spans="1:7" x14ac:dyDescent="0.25">
      <c r="A22" s="111" t="s">
        <v>14</v>
      </c>
      <c r="B22" s="19" t="s">
        <v>5</v>
      </c>
      <c r="C22" s="20" t="s">
        <v>6</v>
      </c>
      <c r="D22" s="21" t="s">
        <v>6</v>
      </c>
      <c r="E22" s="21" t="s">
        <v>6</v>
      </c>
      <c r="F22" s="21" t="s">
        <v>6</v>
      </c>
      <c r="G22" s="22" t="s">
        <v>6</v>
      </c>
    </row>
    <row r="23" spans="1:7" x14ac:dyDescent="0.25">
      <c r="A23" s="112"/>
      <c r="B23" s="13" t="s">
        <v>7</v>
      </c>
      <c r="C23" s="14">
        <f>14.67814</f>
        <v>14.678140000000001</v>
      </c>
      <c r="D23" s="14">
        <f t="shared" ref="D23:G23" si="1">14.67814</f>
        <v>14.678140000000001</v>
      </c>
      <c r="E23" s="14">
        <f t="shared" si="1"/>
        <v>14.678140000000001</v>
      </c>
      <c r="F23" s="14">
        <f t="shared" si="1"/>
        <v>14.678140000000001</v>
      </c>
      <c r="G23" s="14">
        <f t="shared" si="1"/>
        <v>14.678140000000001</v>
      </c>
    </row>
    <row r="24" spans="1:7" ht="15.75" thickBot="1" x14ac:dyDescent="0.3">
      <c r="A24" s="114"/>
      <c r="B24" s="16" t="s">
        <v>8</v>
      </c>
      <c r="C24" s="28"/>
      <c r="D24" s="29"/>
      <c r="E24" s="29"/>
      <c r="F24" s="29"/>
      <c r="G24" s="30"/>
    </row>
    <row r="25" spans="1:7" ht="15.75" thickBot="1" x14ac:dyDescent="0.3">
      <c r="A25" s="109" t="s">
        <v>15</v>
      </c>
      <c r="B25" s="110"/>
      <c r="C25" s="31">
        <v>102794680.51714437</v>
      </c>
      <c r="D25" s="32">
        <v>112095866.16152699</v>
      </c>
      <c r="E25" s="32">
        <v>125525037.78971659</v>
      </c>
      <c r="F25" s="32">
        <v>101536619.83682474</v>
      </c>
      <c r="G25" s="33">
        <v>103395731.914823</v>
      </c>
    </row>
    <row r="26" spans="1:7" x14ac:dyDescent="0.25">
      <c r="A26" s="98" t="s">
        <v>16</v>
      </c>
      <c r="B26" s="99"/>
      <c r="C26" s="34">
        <v>97</v>
      </c>
      <c r="D26" s="34">
        <v>105</v>
      </c>
      <c r="E26" s="34">
        <v>106</v>
      </c>
      <c r="F26" s="35">
        <v>127</v>
      </c>
      <c r="G26" s="36">
        <v>115</v>
      </c>
    </row>
    <row r="27" spans="1:7" ht="15.75" thickBot="1" x14ac:dyDescent="0.3">
      <c r="A27" s="100" t="s">
        <v>17</v>
      </c>
      <c r="B27" s="101"/>
      <c r="C27" s="37">
        <v>0.94362859548770217</v>
      </c>
      <c r="D27" s="38">
        <v>0.93669823514007144</v>
      </c>
      <c r="E27" s="38">
        <v>0.84445304193076176</v>
      </c>
      <c r="F27" s="38">
        <v>1.2507802623732835</v>
      </c>
      <c r="G27" s="39">
        <v>1.1122315967039775</v>
      </c>
    </row>
    <row r="28" spans="1:7" ht="15.75" thickTop="1" x14ac:dyDescent="0.25"/>
    <row r="29" spans="1:7" ht="15.75" thickBot="1" x14ac:dyDescent="0.3"/>
    <row r="30" spans="1:7" ht="15.75" thickTop="1" x14ac:dyDescent="0.25">
      <c r="A30" s="102"/>
      <c r="B30" s="103"/>
      <c r="C30" s="85" t="s">
        <v>18</v>
      </c>
      <c r="D30" s="86"/>
      <c r="E30" s="86"/>
      <c r="F30" s="86"/>
      <c r="G30" s="87"/>
    </row>
    <row r="31" spans="1:7" ht="15.75" thickBot="1" x14ac:dyDescent="0.3">
      <c r="A31" s="104"/>
      <c r="B31" s="105"/>
      <c r="C31" s="40">
        <v>2013</v>
      </c>
      <c r="D31" s="41">
        <v>2014</v>
      </c>
      <c r="E31" s="41">
        <v>2015</v>
      </c>
      <c r="F31" s="41">
        <v>2016</v>
      </c>
      <c r="G31" s="42">
        <v>2017</v>
      </c>
    </row>
    <row r="32" spans="1:7" ht="15.75" thickTop="1" x14ac:dyDescent="0.25">
      <c r="A32" s="88" t="s">
        <v>4</v>
      </c>
      <c r="B32" s="43" t="s">
        <v>5</v>
      </c>
      <c r="C32" s="10" t="s">
        <v>6</v>
      </c>
      <c r="D32" s="11" t="s">
        <v>6</v>
      </c>
      <c r="E32" s="11" t="s">
        <v>6</v>
      </c>
      <c r="F32" s="11" t="s">
        <v>6</v>
      </c>
      <c r="G32" s="12" t="s">
        <v>6</v>
      </c>
    </row>
    <row r="33" spans="1:7" x14ac:dyDescent="0.25">
      <c r="A33" s="89"/>
      <c r="B33" s="44" t="s">
        <v>7</v>
      </c>
      <c r="C33" s="14">
        <f>0.02397</f>
        <v>2.3970000000000002E-2</v>
      </c>
      <c r="D33" s="14">
        <f t="shared" ref="D33:G33" si="2">0.02397</f>
        <v>2.3970000000000002E-2</v>
      </c>
      <c r="E33" s="14">
        <f t="shared" si="2"/>
        <v>2.3970000000000002E-2</v>
      </c>
      <c r="F33" s="14">
        <f t="shared" si="2"/>
        <v>2.3970000000000002E-2</v>
      </c>
      <c r="G33" s="14">
        <f t="shared" si="2"/>
        <v>2.3970000000000002E-2</v>
      </c>
    </row>
    <row r="34" spans="1:7" ht="15.75" thickBot="1" x14ac:dyDescent="0.3">
      <c r="A34" s="90"/>
      <c r="B34" s="45" t="s">
        <v>8</v>
      </c>
      <c r="C34" s="28"/>
      <c r="D34" s="29"/>
      <c r="E34" s="29"/>
      <c r="F34" s="29"/>
      <c r="G34" s="30"/>
    </row>
    <row r="35" spans="1:7" x14ac:dyDescent="0.25">
      <c r="A35" s="94" t="s">
        <v>9</v>
      </c>
      <c r="B35" s="46" t="s">
        <v>5</v>
      </c>
      <c r="C35" s="20" t="s">
        <v>6</v>
      </c>
      <c r="D35" s="21" t="s">
        <v>6</v>
      </c>
      <c r="E35" s="21" t="s">
        <v>6</v>
      </c>
      <c r="F35" s="21" t="s">
        <v>6</v>
      </c>
      <c r="G35" s="22" t="s">
        <v>6</v>
      </c>
    </row>
    <row r="36" spans="1:7" x14ac:dyDescent="0.25">
      <c r="A36" s="89"/>
      <c r="B36" s="44" t="s">
        <v>7</v>
      </c>
      <c r="C36" s="23">
        <f>C12</f>
        <v>4625470</v>
      </c>
      <c r="D36" s="23">
        <f>D12</f>
        <v>4649676</v>
      </c>
      <c r="E36" s="23">
        <f>E12</f>
        <v>4670724</v>
      </c>
      <c r="F36" s="23">
        <f>F12</f>
        <v>4681666</v>
      </c>
      <c r="G36" s="24">
        <f>G12</f>
        <v>4684333</v>
      </c>
    </row>
    <row r="37" spans="1:7" ht="15.75" thickBot="1" x14ac:dyDescent="0.3">
      <c r="A37" s="90"/>
      <c r="B37" s="45" t="s">
        <v>8</v>
      </c>
      <c r="C37" s="28"/>
      <c r="D37" s="29"/>
      <c r="E37" s="29"/>
      <c r="F37" s="29"/>
      <c r="G37" s="30"/>
    </row>
    <row r="38" spans="1:7" x14ac:dyDescent="0.25">
      <c r="A38" s="94" t="s">
        <v>10</v>
      </c>
      <c r="B38" s="46" t="s">
        <v>5</v>
      </c>
      <c r="C38" s="20" t="s">
        <v>6</v>
      </c>
      <c r="D38" s="21" t="s">
        <v>6</v>
      </c>
      <c r="E38" s="21" t="s">
        <v>6</v>
      </c>
      <c r="F38" s="21" t="s">
        <v>6</v>
      </c>
      <c r="G38" s="22" t="s">
        <v>6</v>
      </c>
    </row>
    <row r="39" spans="1:7" x14ac:dyDescent="0.25">
      <c r="A39" s="89"/>
      <c r="B39" s="44" t="s">
        <v>7</v>
      </c>
      <c r="C39" s="14">
        <f>1.17047</f>
        <v>1.1704699999999999</v>
      </c>
      <c r="D39" s="14">
        <f>0.98598</f>
        <v>0.98597999999999997</v>
      </c>
      <c r="E39" s="14">
        <f>1.12144</f>
        <v>1.12144</v>
      </c>
      <c r="F39" s="14">
        <f>1</f>
        <v>1</v>
      </c>
      <c r="G39" s="15">
        <f>1.20809</f>
        <v>1.2080900000000001</v>
      </c>
    </row>
    <row r="40" spans="1:7" ht="15.75" thickBot="1" x14ac:dyDescent="0.3">
      <c r="A40" s="95"/>
      <c r="B40" s="45" t="s">
        <v>8</v>
      </c>
      <c r="C40" s="28"/>
      <c r="D40" s="29"/>
      <c r="E40" s="29"/>
      <c r="F40" s="29"/>
      <c r="G40" s="30"/>
    </row>
    <row r="41" spans="1:7" ht="15.75" thickBot="1" x14ac:dyDescent="0.3">
      <c r="A41" s="96" t="s">
        <v>19</v>
      </c>
      <c r="B41" s="97"/>
      <c r="C41" s="31">
        <v>47367128.095197648</v>
      </c>
      <c r="D41" s="32">
        <v>40109910.733534642</v>
      </c>
      <c r="E41" s="32">
        <v>45826970.282513574</v>
      </c>
      <c r="F41" s="32">
        <v>40960129.917300001</v>
      </c>
      <c r="G41" s="33">
        <v>49511712.581176229</v>
      </c>
    </row>
    <row r="42" spans="1:7" x14ac:dyDescent="0.25">
      <c r="A42" s="94" t="s">
        <v>12</v>
      </c>
      <c r="B42" s="46" t="s">
        <v>5</v>
      </c>
      <c r="C42" s="20" t="s">
        <v>6</v>
      </c>
      <c r="D42" s="21" t="s">
        <v>6</v>
      </c>
      <c r="E42" s="21" t="s">
        <v>6</v>
      </c>
      <c r="F42" s="21" t="s">
        <v>6</v>
      </c>
      <c r="G42" s="22" t="s">
        <v>6</v>
      </c>
    </row>
    <row r="43" spans="1:7" x14ac:dyDescent="0.25">
      <c r="A43" s="89"/>
      <c r="B43" s="44" t="s">
        <v>7</v>
      </c>
      <c r="C43" s="14">
        <f>1.55934</f>
        <v>1.5593399999999999</v>
      </c>
      <c r="D43" s="14">
        <f t="shared" ref="D43:G43" si="3">1.55934</f>
        <v>1.5593399999999999</v>
      </c>
      <c r="E43" s="14">
        <f t="shared" si="3"/>
        <v>1.5593399999999999</v>
      </c>
      <c r="F43" s="14">
        <f t="shared" si="3"/>
        <v>1.5593399999999999</v>
      </c>
      <c r="G43" s="14">
        <f t="shared" si="3"/>
        <v>1.5593399999999999</v>
      </c>
    </row>
    <row r="44" spans="1:7" ht="15.75" thickBot="1" x14ac:dyDescent="0.3">
      <c r="A44" s="95"/>
      <c r="B44" s="45" t="s">
        <v>8</v>
      </c>
      <c r="C44" s="28"/>
      <c r="D44" s="29"/>
      <c r="E44" s="29"/>
      <c r="F44" s="29"/>
      <c r="G44" s="30"/>
    </row>
    <row r="45" spans="1:7" ht="15.75" thickBot="1" x14ac:dyDescent="0.3">
      <c r="A45" s="96" t="s">
        <v>20</v>
      </c>
      <c r="B45" s="97"/>
      <c r="C45" s="31">
        <v>73861457.523965493</v>
      </c>
      <c r="D45" s="32">
        <v>62544988.203229904</v>
      </c>
      <c r="E45" s="32">
        <v>71459827.840334713</v>
      </c>
      <c r="F45" s="32">
        <v>63870768.985242583</v>
      </c>
      <c r="G45" s="33">
        <v>77205593.89633134</v>
      </c>
    </row>
    <row r="46" spans="1:7" x14ac:dyDescent="0.25">
      <c r="A46" s="94" t="s">
        <v>14</v>
      </c>
      <c r="B46" s="46" t="s">
        <v>5</v>
      </c>
      <c r="C46" s="20" t="s">
        <v>6</v>
      </c>
      <c r="D46" s="21" t="s">
        <v>6</v>
      </c>
      <c r="E46" s="21" t="s">
        <v>6</v>
      </c>
      <c r="F46" s="21" t="s">
        <v>6</v>
      </c>
      <c r="G46" s="22" t="s">
        <v>6</v>
      </c>
    </row>
    <row r="47" spans="1:7" x14ac:dyDescent="0.25">
      <c r="A47" s="89"/>
      <c r="B47" s="44" t="s">
        <v>7</v>
      </c>
      <c r="C47" s="14">
        <f>18.34025</f>
        <v>18.340250000000001</v>
      </c>
      <c r="D47" s="14">
        <f t="shared" ref="D47:G47" si="4">18.34025</f>
        <v>18.340250000000001</v>
      </c>
      <c r="E47" s="14">
        <f t="shared" si="4"/>
        <v>18.340250000000001</v>
      </c>
      <c r="F47" s="14">
        <f t="shared" si="4"/>
        <v>18.340250000000001</v>
      </c>
      <c r="G47" s="14">
        <f t="shared" si="4"/>
        <v>18.340250000000001</v>
      </c>
    </row>
    <row r="48" spans="1:7" ht="15.75" thickBot="1" x14ac:dyDescent="0.3">
      <c r="A48" s="90"/>
      <c r="B48" s="45" t="s">
        <v>8</v>
      </c>
      <c r="C48" s="28"/>
      <c r="D48" s="29"/>
      <c r="E48" s="29"/>
      <c r="F48" s="29"/>
      <c r="G48" s="30"/>
    </row>
    <row r="49" spans="1:7" ht="15.75" thickBot="1" x14ac:dyDescent="0.3">
      <c r="A49" s="96" t="s">
        <v>21</v>
      </c>
      <c r="B49" s="97"/>
      <c r="C49" s="31">
        <v>14478749.517465811</v>
      </c>
      <c r="D49" s="32">
        <v>12260429.838845145</v>
      </c>
      <c r="E49" s="32">
        <v>14007968.195397826</v>
      </c>
      <c r="F49" s="32">
        <v>12520317.045262689</v>
      </c>
      <c r="G49" s="33">
        <v>15134286.444448622</v>
      </c>
    </row>
    <row r="50" spans="1:7" x14ac:dyDescent="0.25">
      <c r="A50" s="77" t="s">
        <v>16</v>
      </c>
      <c r="B50" s="78"/>
      <c r="C50" s="34">
        <v>14</v>
      </c>
      <c r="D50" s="35">
        <v>13</v>
      </c>
      <c r="E50" s="35">
        <v>34</v>
      </c>
      <c r="F50" s="35">
        <v>22</v>
      </c>
      <c r="G50" s="36">
        <v>23</v>
      </c>
    </row>
    <row r="51" spans="1:7" ht="15.75" thickBot="1" x14ac:dyDescent="0.3">
      <c r="A51" s="79" t="s">
        <v>17</v>
      </c>
      <c r="B51" s="80"/>
      <c r="C51" s="37">
        <v>0.96693433249271332</v>
      </c>
      <c r="D51" s="38">
        <v>1.0603217155414608</v>
      </c>
      <c r="E51" s="38">
        <v>2.4271899768569112</v>
      </c>
      <c r="F51" s="38">
        <v>1.7571440020621634</v>
      </c>
      <c r="G51" s="39">
        <v>1.5197280746880926</v>
      </c>
    </row>
    <row r="52" spans="1:7" ht="15.75" thickTop="1" x14ac:dyDescent="0.25"/>
    <row r="53" spans="1:7" ht="15.75" thickBot="1" x14ac:dyDescent="0.3"/>
    <row r="54" spans="1:7" ht="15.75" thickTop="1" x14ac:dyDescent="0.25">
      <c r="A54" s="81"/>
      <c r="B54" s="82"/>
      <c r="C54" s="85" t="s">
        <v>22</v>
      </c>
      <c r="D54" s="86"/>
      <c r="E54" s="86"/>
      <c r="F54" s="86"/>
      <c r="G54" s="87"/>
    </row>
    <row r="55" spans="1:7" ht="15.75" thickBot="1" x14ac:dyDescent="0.3">
      <c r="A55" s="83"/>
      <c r="B55" s="84"/>
      <c r="C55" s="6">
        <v>2013</v>
      </c>
      <c r="D55" s="7">
        <v>2014</v>
      </c>
      <c r="E55" s="7">
        <v>2015</v>
      </c>
      <c r="F55" s="7">
        <v>2016</v>
      </c>
      <c r="G55" s="8">
        <v>2017</v>
      </c>
    </row>
    <row r="56" spans="1:7" x14ac:dyDescent="0.25">
      <c r="A56" s="91" t="s">
        <v>23</v>
      </c>
      <c r="B56" s="92"/>
      <c r="C56" s="47">
        <v>467562114.04223609</v>
      </c>
      <c r="D56" s="48">
        <v>498325459.14032322</v>
      </c>
      <c r="E56" s="48">
        <v>558937096.45537984</v>
      </c>
      <c r="F56" s="48">
        <v>456012526.89739996</v>
      </c>
      <c r="G56" s="49">
        <v>472163623.16994154</v>
      </c>
    </row>
    <row r="57" spans="1:7" x14ac:dyDescent="0.25">
      <c r="A57" s="93" t="s">
        <v>24</v>
      </c>
      <c r="B57" s="74"/>
      <c r="C57" s="50">
        <v>477013334.84099197</v>
      </c>
      <c r="D57" s="51">
        <v>502175313.9666391</v>
      </c>
      <c r="E57" s="51">
        <v>563758207.2956295</v>
      </c>
      <c r="F57" s="51">
        <v>462088640.74382973</v>
      </c>
      <c r="G57" s="52">
        <v>482714742.99161637</v>
      </c>
    </row>
    <row r="58" spans="1:7" x14ac:dyDescent="0.25">
      <c r="A58" s="73" t="s">
        <v>25</v>
      </c>
      <c r="B58" s="74"/>
      <c r="C58" s="50">
        <v>117273430.03461018</v>
      </c>
      <c r="D58" s="51">
        <v>124356296.00037214</v>
      </c>
      <c r="E58" s="51">
        <v>139533005.98511443</v>
      </c>
      <c r="F58" s="51">
        <v>114056936.88208744</v>
      </c>
      <c r="G58" s="52">
        <v>118530018.35927162</v>
      </c>
    </row>
    <row r="59" spans="1:7" x14ac:dyDescent="0.25">
      <c r="A59" s="73" t="s">
        <v>26</v>
      </c>
      <c r="B59" s="74"/>
      <c r="C59" s="53">
        <v>111</v>
      </c>
      <c r="D59" s="54">
        <v>118</v>
      </c>
      <c r="E59" s="54">
        <v>140</v>
      </c>
      <c r="F59" s="54">
        <v>149</v>
      </c>
      <c r="G59" s="55">
        <v>138</v>
      </c>
    </row>
    <row r="60" spans="1:7" ht="15.75" thickBot="1" x14ac:dyDescent="0.3">
      <c r="A60" s="75" t="s">
        <v>27</v>
      </c>
      <c r="B60" s="76"/>
      <c r="C60" s="37">
        <v>0.94650595592915854</v>
      </c>
      <c r="D60" s="38">
        <v>0.94888641584859423</v>
      </c>
      <c r="E60" s="38">
        <v>1.0033468354787354</v>
      </c>
      <c r="F60" s="38">
        <v>1.3063650846071453</v>
      </c>
      <c r="G60" s="39">
        <v>1.1642620317640862</v>
      </c>
    </row>
    <row r="61" spans="1:7" ht="15.75" thickTop="1" x14ac:dyDescent="0.25"/>
  </sheetData>
  <mergeCells count="32">
    <mergeCell ref="B3:D3"/>
    <mergeCell ref="A6:B7"/>
    <mergeCell ref="C6:G6"/>
    <mergeCell ref="A8:A10"/>
    <mergeCell ref="A25:B25"/>
    <mergeCell ref="A26:B26"/>
    <mergeCell ref="A27:B27"/>
    <mergeCell ref="A30:B31"/>
    <mergeCell ref="A11:A13"/>
    <mergeCell ref="A14:A16"/>
    <mergeCell ref="A17:B17"/>
    <mergeCell ref="A18:A20"/>
    <mergeCell ref="A21:B21"/>
    <mergeCell ref="A22:A24"/>
    <mergeCell ref="C30:G30"/>
    <mergeCell ref="A32:A34"/>
    <mergeCell ref="C54:G54"/>
    <mergeCell ref="A56:B56"/>
    <mergeCell ref="A57:B57"/>
    <mergeCell ref="A38:A40"/>
    <mergeCell ref="A41:B41"/>
    <mergeCell ref="A42:A44"/>
    <mergeCell ref="A45:B45"/>
    <mergeCell ref="A46:A48"/>
    <mergeCell ref="A49:B49"/>
    <mergeCell ref="A35:A37"/>
    <mergeCell ref="A58:B58"/>
    <mergeCell ref="A59:B59"/>
    <mergeCell ref="A60:B60"/>
    <mergeCell ref="A50:B50"/>
    <mergeCell ref="A51:B51"/>
    <mergeCell ref="A54:B55"/>
  </mergeCells>
  <conditionalFormatting sqref="C12:G12 C36:G36 C39:G39 C15:G15 C9:G9 C19:G19 C23:G23 C33:G33 C43:G43 C47:G47">
    <cfRule type="expression" dxfId="121" priority="11">
      <formula>C8="Default"</formula>
    </cfRule>
  </conditionalFormatting>
  <conditionalFormatting sqref="C10:G10 C13:G13 C16:G16 C20:G20 C24:G24 C34:G34 C37:G37 C40:G40 C44:G44">
    <cfRule type="expression" dxfId="120" priority="10">
      <formula>C8="User Input"</formula>
    </cfRule>
  </conditionalFormatting>
  <conditionalFormatting sqref="C10:G10 C13:G13 C16:G16 C20:G20 C24:G24 C34:G34 C37:G37 C40:G40 C44:G44">
    <cfRule type="expression" dxfId="119" priority="9">
      <formula>AND(C8="User Input",OR(ISBLANK(C10)=TRUE,ISTEXT(C10)=TRUE,C10&lt;0))</formula>
    </cfRule>
  </conditionalFormatting>
  <conditionalFormatting sqref="C48:G48">
    <cfRule type="expression" dxfId="118" priority="7">
      <formula>AND(C46="User Input",OR(ISBLANK(C48)=TRUE,ISTEXT(C48)=TRUE,C48&lt;0))</formula>
    </cfRule>
    <cfRule type="expression" dxfId="117" priority="8">
      <formula>C46="User Input"</formula>
    </cfRule>
  </conditionalFormatting>
  <conditionalFormatting sqref="C17:G17 C41:G41">
    <cfRule type="expression" dxfId="116" priority="4">
      <formula>AND(C14="User Input",OR(ISBLANK(C16)=TRUE,ISTEXT(C16)=TRUE,C16&lt;0))</formula>
    </cfRule>
    <cfRule type="expression" dxfId="115" priority="5">
      <formula>AND(C11="User Input",OR(ISBLANK(C13)=TRUE,ISTEXT(C13)=TRUE,C13&lt;0))</formula>
    </cfRule>
    <cfRule type="expression" dxfId="114" priority="6">
      <formula>AND(C8="User Input",OR(ISBLANK(C10)=TRUE,ISTEXT(C10)=TRUE,C10&lt;0))</formula>
    </cfRule>
  </conditionalFormatting>
  <conditionalFormatting sqref="C21:G21 C25:G25 C45:G45 C49:G49">
    <cfRule type="expression" dxfId="113" priority="3">
      <formula>AND(C18="User Input",OR(ISBLANK(C20)=TRUE,ISTEXT(C20)=TRUE,C20&lt;0))</formula>
    </cfRule>
  </conditionalFormatting>
  <conditionalFormatting sqref="C40">
    <cfRule type="expression" dxfId="112" priority="2">
      <formula>AND(C38="User Input",OR(ISBLANK(C40)=TRUE,ISTEXT(C40)=TRUE,C40&lt;0))</formula>
    </cfRule>
  </conditionalFormatting>
  <conditionalFormatting sqref="C51:G51 C27:G27">
    <cfRule type="expression" dxfId="111" priority="1">
      <formula>ISERROR(C27)</formula>
    </cfRule>
  </conditionalFormatting>
  <dataValidations count="2">
    <dataValidation type="list" allowBlank="1" showInputMessage="1" showErrorMessage="1" sqref="C46:G46 C38:G38 C35:G35 C32:G32 C42:G42 C22:G22 C14:G14 C11:G11 C8:G8 C18:G18">
      <formula1>"Default,User Input"</formula1>
    </dataValidation>
    <dataValidation type="list" allowBlank="1" showInputMessage="1" showErrorMessage="1" sqref="B3">
      <formula1>States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INDIRECT(VLOOKUP(#REF!,'D:\Windows\LTRC Phase 2\Assorted Data and Work\[areawide-non-motorized_exposure_toolv3.xlsm]MPO Lookup List'!#REF!,2,FALSE))</xm:f>
          </x14:formula1>
          <xm:sqref>D5:E5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F5" sqref="F5:H7"/>
    </sheetView>
  </sheetViews>
  <sheetFormatPr defaultRowHeight="15" x14ac:dyDescent="0.25"/>
  <cols>
    <col min="1" max="1" width="37.42578125" bestFit="1" customWidth="1"/>
    <col min="2" max="2" width="16.42578125" bestFit="1" customWidth="1"/>
    <col min="3" max="7" width="15.42578125" customWidth="1"/>
    <col min="8" max="10" width="14.5703125" customWidth="1"/>
  </cols>
  <sheetData>
    <row r="1" spans="1:12" x14ac:dyDescent="0.25">
      <c r="A1" s="1" t="s">
        <v>59</v>
      </c>
      <c r="B1" s="1"/>
    </row>
    <row r="3" spans="1:12" x14ac:dyDescent="0.25">
      <c r="A3" s="2" t="s">
        <v>1</v>
      </c>
      <c r="B3" s="115" t="s">
        <v>2</v>
      </c>
      <c r="C3" s="115"/>
      <c r="D3" s="115"/>
    </row>
    <row r="4" spans="1:12" ht="40.15" customHeight="1" x14ac:dyDescent="0.25">
      <c r="A4" s="4" t="s">
        <v>60</v>
      </c>
      <c r="B4" s="131" t="s">
        <v>55</v>
      </c>
      <c r="C4" s="132"/>
      <c r="D4" s="132"/>
      <c r="F4" s="56"/>
      <c r="J4" s="3"/>
      <c r="K4" s="3"/>
      <c r="L4" s="3"/>
    </row>
    <row r="5" spans="1:12" ht="15.75" customHeight="1" x14ac:dyDescent="0.25">
      <c r="F5" s="3"/>
      <c r="G5" s="3"/>
      <c r="H5" s="3"/>
    </row>
    <row r="6" spans="1:12" ht="15.75" customHeight="1" x14ac:dyDescent="0.25">
      <c r="F6" s="3"/>
      <c r="G6" s="3"/>
      <c r="H6" s="3"/>
    </row>
    <row r="7" spans="1:12" ht="15.75" customHeight="1" thickBot="1" x14ac:dyDescent="0.3">
      <c r="F7" s="3"/>
      <c r="G7" s="3"/>
      <c r="H7" s="3"/>
      <c r="I7" s="3"/>
      <c r="J7" s="3"/>
      <c r="K7" s="3"/>
      <c r="L7" s="3"/>
    </row>
    <row r="8" spans="1:12" ht="15.75" thickTop="1" x14ac:dyDescent="0.25">
      <c r="A8" s="116"/>
      <c r="B8" s="117"/>
      <c r="C8" s="85" t="s">
        <v>3</v>
      </c>
      <c r="D8" s="86"/>
      <c r="E8" s="86"/>
      <c r="F8" s="86"/>
      <c r="G8" s="87"/>
    </row>
    <row r="9" spans="1:12" ht="15.75" thickBot="1" x14ac:dyDescent="0.3">
      <c r="A9" s="118"/>
      <c r="B9" s="119"/>
      <c r="C9" s="6">
        <v>2013</v>
      </c>
      <c r="D9" s="7">
        <v>2014</v>
      </c>
      <c r="E9" s="7">
        <v>2015</v>
      </c>
      <c r="F9" s="7">
        <v>2016</v>
      </c>
      <c r="G9" s="8">
        <v>2017</v>
      </c>
    </row>
    <row r="10" spans="1:12" ht="15.75" thickTop="1" x14ac:dyDescent="0.25">
      <c r="A10" s="130" t="s">
        <v>4</v>
      </c>
      <c r="B10" s="9" t="s">
        <v>5</v>
      </c>
      <c r="C10" s="10" t="s">
        <v>6</v>
      </c>
      <c r="D10" s="11" t="s">
        <v>6</v>
      </c>
      <c r="E10" s="11" t="s">
        <v>6</v>
      </c>
      <c r="F10" s="11" t="s">
        <v>6</v>
      </c>
      <c r="G10" s="12" t="s">
        <v>6</v>
      </c>
    </row>
    <row r="11" spans="1:12" x14ac:dyDescent="0.25">
      <c r="A11" s="112"/>
      <c r="B11" s="13" t="s">
        <v>7</v>
      </c>
      <c r="C11" s="14">
        <f>0.28839</f>
        <v>0.28838999999999998</v>
      </c>
      <c r="D11" s="14">
        <f t="shared" ref="D11:G11" si="0">0.28839</f>
        <v>0.28838999999999998</v>
      </c>
      <c r="E11" s="14">
        <f t="shared" si="0"/>
        <v>0.28838999999999998</v>
      </c>
      <c r="F11" s="14">
        <f t="shared" si="0"/>
        <v>0.28838999999999998</v>
      </c>
      <c r="G11" s="14">
        <f t="shared" si="0"/>
        <v>0.28838999999999998</v>
      </c>
    </row>
    <row r="12" spans="1:12" ht="15.75" thickBot="1" x14ac:dyDescent="0.3">
      <c r="A12" s="114"/>
      <c r="B12" s="16" t="s">
        <v>8</v>
      </c>
      <c r="C12" s="17"/>
      <c r="D12" s="17"/>
      <c r="E12" s="17"/>
      <c r="F12" s="17"/>
      <c r="G12" s="18"/>
    </row>
    <row r="13" spans="1:12" x14ac:dyDescent="0.25">
      <c r="A13" s="111" t="s">
        <v>61</v>
      </c>
      <c r="B13" s="19" t="s">
        <v>5</v>
      </c>
      <c r="C13" s="20" t="s">
        <v>6</v>
      </c>
      <c r="D13" s="21" t="s">
        <v>6</v>
      </c>
      <c r="E13" s="21" t="s">
        <v>6</v>
      </c>
      <c r="F13" s="21" t="s">
        <v>6</v>
      </c>
      <c r="G13" s="22" t="s">
        <v>6</v>
      </c>
    </row>
    <row r="14" spans="1:12" x14ac:dyDescent="0.25">
      <c r="A14" s="112"/>
      <c r="B14" s="13" t="s">
        <v>7</v>
      </c>
      <c r="C14" s="23">
        <f>106938</f>
        <v>106938</v>
      </c>
      <c r="D14" s="23">
        <f>106463</f>
        <v>106463</v>
      </c>
      <c r="E14" s="23">
        <v>106431</v>
      </c>
      <c r="F14" s="23">
        <f>106542</f>
        <v>106542</v>
      </c>
      <c r="G14" s="24">
        <v>105921</v>
      </c>
    </row>
    <row r="15" spans="1:12" ht="15.75" thickBot="1" x14ac:dyDescent="0.3">
      <c r="A15" s="114"/>
      <c r="B15" s="16" t="s">
        <v>8</v>
      </c>
      <c r="C15" s="17"/>
      <c r="D15" s="17"/>
      <c r="E15" s="17"/>
      <c r="F15" s="17"/>
      <c r="G15" s="18"/>
    </row>
    <row r="16" spans="1:12" x14ac:dyDescent="0.25">
      <c r="A16" s="111" t="s">
        <v>62</v>
      </c>
      <c r="B16" s="19" t="s">
        <v>5</v>
      </c>
      <c r="C16" s="20" t="s">
        <v>6</v>
      </c>
      <c r="D16" s="21" t="s">
        <v>6</v>
      </c>
      <c r="E16" s="21" t="s">
        <v>6</v>
      </c>
      <c r="F16" s="21" t="s">
        <v>6</v>
      </c>
      <c r="G16" s="22" t="s">
        <v>6</v>
      </c>
    </row>
    <row r="17" spans="1:7" x14ac:dyDescent="0.25">
      <c r="A17" s="112"/>
      <c r="B17" s="13" t="s">
        <v>7</v>
      </c>
      <c r="C17" s="14">
        <f>1.16832</f>
        <v>1.16832</v>
      </c>
      <c r="D17" s="14">
        <f>1.03626</f>
        <v>1.03626</v>
      </c>
      <c r="E17" s="14">
        <f>0.88497</f>
        <v>0.88497000000000003</v>
      </c>
      <c r="F17" s="14">
        <f>1</f>
        <v>1</v>
      </c>
      <c r="G17" s="15">
        <f>1.07757</f>
        <v>1.0775699999999999</v>
      </c>
    </row>
    <row r="18" spans="1:7" ht="15.75" thickBot="1" x14ac:dyDescent="0.3">
      <c r="A18" s="113"/>
      <c r="B18" s="16" t="s">
        <v>8</v>
      </c>
      <c r="C18" s="17"/>
      <c r="D18" s="17"/>
      <c r="E18" s="17"/>
      <c r="F18" s="17"/>
      <c r="G18" s="18"/>
    </row>
    <row r="19" spans="1:7" ht="15.75" thickBot="1" x14ac:dyDescent="0.3">
      <c r="A19" s="109" t="s">
        <v>11</v>
      </c>
      <c r="B19" s="110"/>
      <c r="C19" s="25">
        <v>13151246.869721375</v>
      </c>
      <c r="D19" s="26">
        <v>11612894.910347492</v>
      </c>
      <c r="E19" s="26">
        <v>9914475.7026570626</v>
      </c>
      <c r="F19" s="26">
        <v>11214861.2937</v>
      </c>
      <c r="G19" s="27">
        <v>12014359.57539833</v>
      </c>
    </row>
    <row r="20" spans="1:7" x14ac:dyDescent="0.25">
      <c r="A20" s="111" t="s">
        <v>12</v>
      </c>
      <c r="B20" s="19" t="s">
        <v>5</v>
      </c>
      <c r="C20" s="20" t="s">
        <v>6</v>
      </c>
      <c r="D20" s="21" t="s">
        <v>6</v>
      </c>
      <c r="E20" s="21" t="s">
        <v>6</v>
      </c>
      <c r="F20" s="21" t="s">
        <v>6</v>
      </c>
      <c r="G20" s="22" t="s">
        <v>6</v>
      </c>
    </row>
    <row r="21" spans="1:7" x14ac:dyDescent="0.25">
      <c r="A21" s="112"/>
      <c r="B21" s="13" t="s">
        <v>7</v>
      </c>
      <c r="C21" s="14">
        <f>0.88794</f>
        <v>0.88793999999999995</v>
      </c>
      <c r="D21" s="14">
        <f t="shared" ref="D21:G21" si="1">0.88794</f>
        <v>0.88793999999999995</v>
      </c>
      <c r="E21" s="14">
        <f t="shared" si="1"/>
        <v>0.88793999999999995</v>
      </c>
      <c r="F21" s="14">
        <f t="shared" si="1"/>
        <v>0.88793999999999995</v>
      </c>
      <c r="G21" s="14">
        <f t="shared" si="1"/>
        <v>0.88793999999999995</v>
      </c>
    </row>
    <row r="22" spans="1:7" ht="15.75" thickBot="1" x14ac:dyDescent="0.3">
      <c r="A22" s="113"/>
      <c r="B22" s="16" t="s">
        <v>8</v>
      </c>
      <c r="C22" s="17"/>
      <c r="D22" s="17"/>
      <c r="E22" s="17"/>
      <c r="F22" s="17"/>
      <c r="G22" s="18"/>
    </row>
    <row r="23" spans="1:7" ht="15.75" thickBot="1" x14ac:dyDescent="0.3">
      <c r="A23" s="109" t="s">
        <v>13</v>
      </c>
      <c r="B23" s="110"/>
      <c r="C23" s="25">
        <v>11677518.145500397</v>
      </c>
      <c r="D23" s="26">
        <v>10311553.90669395</v>
      </c>
      <c r="E23" s="26">
        <v>8803459.5554173123</v>
      </c>
      <c r="F23" s="26">
        <v>9958123.9371279776</v>
      </c>
      <c r="G23" s="27">
        <v>10668030.441379191</v>
      </c>
    </row>
    <row r="24" spans="1:7" x14ac:dyDescent="0.25">
      <c r="A24" s="111" t="s">
        <v>14</v>
      </c>
      <c r="B24" s="19" t="s">
        <v>5</v>
      </c>
      <c r="C24" s="20" t="s">
        <v>6</v>
      </c>
      <c r="D24" s="21" t="s">
        <v>6</v>
      </c>
      <c r="E24" s="21" t="s">
        <v>6</v>
      </c>
      <c r="F24" s="21" t="s">
        <v>6</v>
      </c>
      <c r="G24" s="22" t="s">
        <v>6</v>
      </c>
    </row>
    <row r="25" spans="1:7" x14ac:dyDescent="0.25">
      <c r="A25" s="112"/>
      <c r="B25" s="13" t="s">
        <v>7</v>
      </c>
      <c r="C25" s="14">
        <f>17.08134</f>
        <v>17.081340000000001</v>
      </c>
      <c r="D25" s="14">
        <f t="shared" ref="D25:G25" si="2">17.08134</f>
        <v>17.081340000000001</v>
      </c>
      <c r="E25" s="14">
        <f t="shared" si="2"/>
        <v>17.081340000000001</v>
      </c>
      <c r="F25" s="14">
        <f t="shared" si="2"/>
        <v>17.081340000000001</v>
      </c>
      <c r="G25" s="14">
        <f t="shared" si="2"/>
        <v>17.081340000000001</v>
      </c>
    </row>
    <row r="26" spans="1:7" ht="15.75" thickBot="1" x14ac:dyDescent="0.3">
      <c r="A26" s="114"/>
      <c r="B26" s="16" t="s">
        <v>8</v>
      </c>
      <c r="C26" s="28"/>
      <c r="D26" s="29"/>
      <c r="E26" s="29"/>
      <c r="F26" s="29"/>
      <c r="G26" s="30"/>
    </row>
    <row r="27" spans="1:7" ht="15.75" thickBot="1" x14ac:dyDescent="0.3">
      <c r="A27" s="109" t="s">
        <v>15</v>
      </c>
      <c r="B27" s="110"/>
      <c r="C27" s="31">
        <v>3744015.320094109</v>
      </c>
      <c r="D27" s="32">
        <v>3306063.4391319174</v>
      </c>
      <c r="E27" s="32">
        <v>2822542.1733137369</v>
      </c>
      <c r="F27" s="32">
        <v>3192747.6468421598</v>
      </c>
      <c r="G27" s="33">
        <v>3420356.0131605752</v>
      </c>
    </row>
    <row r="28" spans="1:7" x14ac:dyDescent="0.25">
      <c r="A28" s="98" t="s">
        <v>16</v>
      </c>
      <c r="B28" s="99"/>
      <c r="C28" s="34">
        <v>3</v>
      </c>
      <c r="D28" s="35">
        <v>4</v>
      </c>
      <c r="E28" s="35">
        <v>3</v>
      </c>
      <c r="F28" s="35">
        <v>2</v>
      </c>
      <c r="G28" s="36">
        <v>6</v>
      </c>
    </row>
    <row r="29" spans="1:7" ht="15.75" thickBot="1" x14ac:dyDescent="0.3">
      <c r="A29" s="100" t="s">
        <v>17</v>
      </c>
      <c r="B29" s="101"/>
      <c r="C29" s="37">
        <v>0.80127877252505275</v>
      </c>
      <c r="D29" s="38">
        <v>1.2098981382675136</v>
      </c>
      <c r="E29" s="38">
        <v>1.0628716298250818</v>
      </c>
      <c r="F29" s="38">
        <v>0.62641969276154141</v>
      </c>
      <c r="G29" s="39">
        <v>1.7542033568767914</v>
      </c>
    </row>
    <row r="30" spans="1:7" ht="15.75" thickTop="1" x14ac:dyDescent="0.25"/>
    <row r="31" spans="1:7" ht="15.75" thickBot="1" x14ac:dyDescent="0.3"/>
    <row r="32" spans="1:7" ht="15.75" thickTop="1" x14ac:dyDescent="0.25">
      <c r="A32" s="102"/>
      <c r="B32" s="103"/>
      <c r="C32" s="85" t="s">
        <v>18</v>
      </c>
      <c r="D32" s="86"/>
      <c r="E32" s="86"/>
      <c r="F32" s="86"/>
      <c r="G32" s="87"/>
    </row>
    <row r="33" spans="1:7" ht="15.75" thickBot="1" x14ac:dyDescent="0.3">
      <c r="A33" s="104"/>
      <c r="B33" s="105"/>
      <c r="C33" s="40">
        <v>2013</v>
      </c>
      <c r="D33" s="41">
        <v>2014</v>
      </c>
      <c r="E33" s="41">
        <v>2015</v>
      </c>
      <c r="F33" s="41">
        <v>2016</v>
      </c>
      <c r="G33" s="42">
        <v>2017</v>
      </c>
    </row>
    <row r="34" spans="1:7" ht="15.75" thickTop="1" x14ac:dyDescent="0.25">
      <c r="A34" s="88" t="s">
        <v>4</v>
      </c>
      <c r="B34" s="43" t="s">
        <v>5</v>
      </c>
      <c r="C34" s="10" t="s">
        <v>6</v>
      </c>
      <c r="D34" s="11" t="s">
        <v>6</v>
      </c>
      <c r="E34" s="11" t="s">
        <v>6</v>
      </c>
      <c r="F34" s="11" t="s">
        <v>6</v>
      </c>
      <c r="G34" s="12" t="s">
        <v>6</v>
      </c>
    </row>
    <row r="35" spans="1:7" x14ac:dyDescent="0.25">
      <c r="A35" s="89"/>
      <c r="B35" s="44" t="s">
        <v>7</v>
      </c>
      <c r="C35" s="14">
        <f>0.02249</f>
        <v>2.249E-2</v>
      </c>
      <c r="D35" s="14">
        <f t="shared" ref="D35:G35" si="3">0.02249</f>
        <v>2.249E-2</v>
      </c>
      <c r="E35" s="14">
        <f t="shared" si="3"/>
        <v>2.249E-2</v>
      </c>
      <c r="F35" s="14">
        <f t="shared" si="3"/>
        <v>2.249E-2</v>
      </c>
      <c r="G35" s="14">
        <f t="shared" si="3"/>
        <v>2.249E-2</v>
      </c>
    </row>
    <row r="36" spans="1:7" ht="15.75" thickBot="1" x14ac:dyDescent="0.3">
      <c r="A36" s="90"/>
      <c r="B36" s="45" t="s">
        <v>8</v>
      </c>
      <c r="C36" s="28"/>
      <c r="D36" s="29"/>
      <c r="E36" s="29"/>
      <c r="F36" s="29"/>
      <c r="G36" s="30"/>
    </row>
    <row r="37" spans="1:7" x14ac:dyDescent="0.25">
      <c r="A37" s="94" t="s">
        <v>61</v>
      </c>
      <c r="B37" s="46" t="s">
        <v>5</v>
      </c>
      <c r="C37" s="20" t="s">
        <v>6</v>
      </c>
      <c r="D37" s="21" t="s">
        <v>6</v>
      </c>
      <c r="E37" s="21" t="s">
        <v>6</v>
      </c>
      <c r="F37" s="21" t="s">
        <v>6</v>
      </c>
      <c r="G37" s="22" t="s">
        <v>6</v>
      </c>
    </row>
    <row r="38" spans="1:7" x14ac:dyDescent="0.25">
      <c r="A38" s="89"/>
      <c r="B38" s="44" t="s">
        <v>7</v>
      </c>
      <c r="C38" s="23">
        <v>106938</v>
      </c>
      <c r="D38" s="23">
        <v>106463</v>
      </c>
      <c r="E38" s="23">
        <v>106431</v>
      </c>
      <c r="F38" s="23">
        <v>106542</v>
      </c>
      <c r="G38" s="24">
        <v>105921</v>
      </c>
    </row>
    <row r="39" spans="1:7" ht="15.75" thickBot="1" x14ac:dyDescent="0.3">
      <c r="A39" s="90"/>
      <c r="B39" s="45" t="s">
        <v>8</v>
      </c>
      <c r="C39" s="28"/>
      <c r="D39" s="29"/>
      <c r="E39" s="29"/>
      <c r="F39" s="29"/>
      <c r="G39" s="30"/>
    </row>
    <row r="40" spans="1:7" x14ac:dyDescent="0.25">
      <c r="A40" s="94" t="s">
        <v>63</v>
      </c>
      <c r="B40" s="46" t="s">
        <v>5</v>
      </c>
      <c r="C40" s="20" t="s">
        <v>6</v>
      </c>
      <c r="D40" s="21" t="s">
        <v>6</v>
      </c>
      <c r="E40" s="21" t="s">
        <v>6</v>
      </c>
      <c r="F40" s="21" t="s">
        <v>6</v>
      </c>
      <c r="G40" s="22" t="s">
        <v>6</v>
      </c>
    </row>
    <row r="41" spans="1:7" x14ac:dyDescent="0.25">
      <c r="A41" s="89"/>
      <c r="B41" s="44" t="s">
        <v>7</v>
      </c>
      <c r="C41" s="14">
        <f>1.43397</f>
        <v>1.43397</v>
      </c>
      <c r="D41" s="14">
        <f>1.24277</f>
        <v>1.2427699999999999</v>
      </c>
      <c r="E41" s="14">
        <f>1.74657</f>
        <v>1.74657</v>
      </c>
      <c r="F41" s="14">
        <f>1</f>
        <v>1</v>
      </c>
      <c r="G41" s="15">
        <f>1.32472</f>
        <v>1.3247199999999999</v>
      </c>
    </row>
    <row r="42" spans="1:7" ht="15.75" thickBot="1" x14ac:dyDescent="0.3">
      <c r="A42" s="95"/>
      <c r="B42" s="45" t="s">
        <v>8</v>
      </c>
      <c r="C42" s="28"/>
      <c r="D42" s="29"/>
      <c r="E42" s="29"/>
      <c r="F42" s="29"/>
      <c r="G42" s="30"/>
    </row>
    <row r="43" spans="1:7" ht="15.75" thickBot="1" x14ac:dyDescent="0.3">
      <c r="A43" s="96" t="s">
        <v>19</v>
      </c>
      <c r="B43" s="97"/>
      <c r="C43" s="31">
        <v>1258793.3587241611</v>
      </c>
      <c r="D43" s="32">
        <v>1086104.9194312135</v>
      </c>
      <c r="E43" s="32">
        <v>1525936.4910402796</v>
      </c>
      <c r="F43" s="32">
        <v>874587.29669999995</v>
      </c>
      <c r="G43" s="33">
        <v>1151830.2640380119</v>
      </c>
    </row>
    <row r="44" spans="1:7" x14ac:dyDescent="0.25">
      <c r="A44" s="94" t="s">
        <v>12</v>
      </c>
      <c r="B44" s="46" t="s">
        <v>5</v>
      </c>
      <c r="C44" s="20" t="s">
        <v>6</v>
      </c>
      <c r="D44" s="21" t="s">
        <v>6</v>
      </c>
      <c r="E44" s="21" t="s">
        <v>6</v>
      </c>
      <c r="F44" s="21" t="s">
        <v>6</v>
      </c>
      <c r="G44" s="22" t="s">
        <v>6</v>
      </c>
    </row>
    <row r="45" spans="1:7" x14ac:dyDescent="0.25">
      <c r="A45" s="89"/>
      <c r="B45" s="44" t="s">
        <v>7</v>
      </c>
      <c r="C45" s="14">
        <v>2.2801399999999998</v>
      </c>
      <c r="D45" s="14">
        <v>2.2801399999999998</v>
      </c>
      <c r="E45" s="14">
        <v>2.2801399999999998</v>
      </c>
      <c r="F45" s="14">
        <v>2.2801399999999998</v>
      </c>
      <c r="G45" s="14">
        <v>2.2801399999999998</v>
      </c>
    </row>
    <row r="46" spans="1:7" ht="15.75" thickBot="1" x14ac:dyDescent="0.3">
      <c r="A46" s="95"/>
      <c r="B46" s="45" t="s">
        <v>8</v>
      </c>
      <c r="C46" s="28"/>
      <c r="D46" s="29"/>
      <c r="E46" s="29"/>
      <c r="F46" s="29"/>
      <c r="G46" s="30"/>
    </row>
    <row r="47" spans="1:7" ht="15.75" thickBot="1" x14ac:dyDescent="0.3">
      <c r="A47" s="96" t="s">
        <v>20</v>
      </c>
      <c r="B47" s="97"/>
      <c r="C47" s="31">
        <v>2870225.0889613084</v>
      </c>
      <c r="D47" s="32">
        <v>2476471.270991887</v>
      </c>
      <c r="E47" s="32">
        <v>3479348.8306805831</v>
      </c>
      <c r="F47" s="32">
        <v>1994181.4786975377</v>
      </c>
      <c r="G47" s="33">
        <v>2626334.258243632</v>
      </c>
    </row>
    <row r="48" spans="1:7" x14ac:dyDescent="0.25">
      <c r="A48" s="94" t="s">
        <v>14</v>
      </c>
      <c r="B48" s="46" t="s">
        <v>5</v>
      </c>
      <c r="C48" s="20" t="s">
        <v>6</v>
      </c>
      <c r="D48" s="21" t="s">
        <v>6</v>
      </c>
      <c r="E48" s="21" t="s">
        <v>6</v>
      </c>
      <c r="F48" s="21" t="s">
        <v>6</v>
      </c>
      <c r="G48" s="22" t="s">
        <v>6</v>
      </c>
    </row>
    <row r="49" spans="1:7" x14ac:dyDescent="0.25">
      <c r="A49" s="89"/>
      <c r="B49" s="44" t="s">
        <v>7</v>
      </c>
      <c r="C49" s="14">
        <f>22.93023</f>
        <v>22.930230000000002</v>
      </c>
      <c r="D49" s="14">
        <f t="shared" ref="D49:G49" si="4">22.93023</f>
        <v>22.930230000000002</v>
      </c>
      <c r="E49" s="14">
        <f t="shared" si="4"/>
        <v>22.930230000000002</v>
      </c>
      <c r="F49" s="14">
        <f t="shared" si="4"/>
        <v>22.930230000000002</v>
      </c>
      <c r="G49" s="14">
        <f t="shared" si="4"/>
        <v>22.930230000000002</v>
      </c>
    </row>
    <row r="50" spans="1:7" ht="15.75" thickBot="1" x14ac:dyDescent="0.3">
      <c r="A50" s="90"/>
      <c r="B50" s="45" t="s">
        <v>8</v>
      </c>
      <c r="C50" s="28"/>
      <c r="D50" s="29"/>
      <c r="E50" s="29"/>
      <c r="F50" s="29"/>
      <c r="G50" s="30"/>
    </row>
    <row r="51" spans="1:7" ht="15.75" thickBot="1" x14ac:dyDescent="0.3">
      <c r="A51" s="96" t="s">
        <v>21</v>
      </c>
      <c r="B51" s="97"/>
      <c r="C51" s="31">
        <v>481073.68730029202</v>
      </c>
      <c r="D51" s="32">
        <v>415077.2601114866</v>
      </c>
      <c r="E51" s="32">
        <v>583167.91174910928</v>
      </c>
      <c r="F51" s="32">
        <v>334241.46447348734</v>
      </c>
      <c r="G51" s="33">
        <v>440195.54792253906</v>
      </c>
    </row>
    <row r="52" spans="1:7" x14ac:dyDescent="0.25">
      <c r="A52" s="77" t="s">
        <v>16</v>
      </c>
      <c r="B52" s="78"/>
      <c r="C52" s="34">
        <v>1</v>
      </c>
      <c r="D52" s="35">
        <v>0</v>
      </c>
      <c r="E52" s="35">
        <v>2</v>
      </c>
      <c r="F52" s="35">
        <v>1</v>
      </c>
      <c r="G52" s="36">
        <v>1</v>
      </c>
    </row>
    <row r="53" spans="1:7" ht="15.75" thickBot="1" x14ac:dyDescent="0.3">
      <c r="A53" s="79" t="s">
        <v>17</v>
      </c>
      <c r="B53" s="80"/>
      <c r="C53" s="37">
        <v>2.0786836328792764</v>
      </c>
      <c r="D53" s="38">
        <v>0</v>
      </c>
      <c r="E53" s="38">
        <v>3.4295439781680592</v>
      </c>
      <c r="F53" s="38">
        <v>2.9918490261980102</v>
      </c>
      <c r="G53" s="39">
        <v>2.2717176598432327</v>
      </c>
    </row>
    <row r="54" spans="1:7" ht="15.75" thickTop="1" x14ac:dyDescent="0.25"/>
    <row r="55" spans="1:7" ht="15.75" thickBot="1" x14ac:dyDescent="0.3"/>
    <row r="56" spans="1:7" ht="15.75" thickTop="1" x14ac:dyDescent="0.25">
      <c r="A56" s="81"/>
      <c r="B56" s="82"/>
      <c r="C56" s="85" t="s">
        <v>22</v>
      </c>
      <c r="D56" s="86"/>
      <c r="E56" s="86"/>
      <c r="F56" s="86"/>
      <c r="G56" s="87"/>
    </row>
    <row r="57" spans="1:7" ht="15.75" thickBot="1" x14ac:dyDescent="0.3">
      <c r="A57" s="83"/>
      <c r="B57" s="84"/>
      <c r="C57" s="6">
        <v>2013</v>
      </c>
      <c r="D57" s="7">
        <v>2014</v>
      </c>
      <c r="E57" s="7">
        <v>2015</v>
      </c>
      <c r="F57" s="7">
        <v>2016</v>
      </c>
      <c r="G57" s="8">
        <v>2017</v>
      </c>
    </row>
    <row r="58" spans="1:7" x14ac:dyDescent="0.25">
      <c r="A58" s="91" t="s">
        <v>23</v>
      </c>
      <c r="B58" s="92"/>
      <c r="C58" s="47">
        <v>14410040.228445537</v>
      </c>
      <c r="D58" s="48">
        <v>12698999.829778705</v>
      </c>
      <c r="E58" s="48">
        <v>11440412.193697343</v>
      </c>
      <c r="F58" s="48">
        <v>12089448.590400001</v>
      </c>
      <c r="G58" s="49">
        <v>13166189.839436341</v>
      </c>
    </row>
    <row r="59" spans="1:7" x14ac:dyDescent="0.25">
      <c r="A59" s="93" t="s">
        <v>24</v>
      </c>
      <c r="B59" s="74"/>
      <c r="C59" s="50">
        <v>14547743.234461706</v>
      </c>
      <c r="D59" s="51">
        <v>12788025.177685838</v>
      </c>
      <c r="E59" s="51">
        <v>12282808.386097895</v>
      </c>
      <c r="F59" s="51">
        <v>11952305.415825516</v>
      </c>
      <c r="G59" s="52">
        <v>13294364.699622823</v>
      </c>
    </row>
    <row r="60" spans="1:7" x14ac:dyDescent="0.25">
      <c r="A60" s="73" t="s">
        <v>25</v>
      </c>
      <c r="B60" s="74"/>
      <c r="C60" s="50">
        <v>4225089.0073944014</v>
      </c>
      <c r="D60" s="51">
        <v>3721140.699243404</v>
      </c>
      <c r="E60" s="51">
        <v>3405710.0850628461</v>
      </c>
      <c r="F60" s="51">
        <v>3526989.1113156471</v>
      </c>
      <c r="G60" s="52">
        <v>3860551.5610831142</v>
      </c>
    </row>
    <row r="61" spans="1:7" x14ac:dyDescent="0.25">
      <c r="A61" s="73" t="s">
        <v>26</v>
      </c>
      <c r="B61" s="74"/>
      <c r="C61" s="53">
        <v>4</v>
      </c>
      <c r="D61" s="54">
        <v>4</v>
      </c>
      <c r="E61" s="54">
        <v>5</v>
      </c>
      <c r="F61" s="54">
        <v>3</v>
      </c>
      <c r="G61" s="55">
        <v>7</v>
      </c>
    </row>
    <row r="62" spans="1:7" ht="15.75" thickBot="1" x14ac:dyDescent="0.3">
      <c r="A62" s="75" t="s">
        <v>27</v>
      </c>
      <c r="B62" s="76"/>
      <c r="C62" s="37">
        <v>0.94672561761409779</v>
      </c>
      <c r="D62" s="38">
        <v>1.0749391982983321</v>
      </c>
      <c r="E62" s="38">
        <v>1.4681226161702881</v>
      </c>
      <c r="F62" s="38">
        <v>0.85058385646133494</v>
      </c>
      <c r="G62" s="39">
        <v>1.813212409999799</v>
      </c>
    </row>
    <row r="63" spans="1:7" ht="15.75" thickTop="1" x14ac:dyDescent="0.25"/>
  </sheetData>
  <mergeCells count="33">
    <mergeCell ref="A10:A12"/>
    <mergeCell ref="B3:D3"/>
    <mergeCell ref="B4:D4"/>
    <mergeCell ref="A8:B9"/>
    <mergeCell ref="C8:G8"/>
    <mergeCell ref="A24:A26"/>
    <mergeCell ref="A27:B27"/>
    <mergeCell ref="A28:B28"/>
    <mergeCell ref="A29:B29"/>
    <mergeCell ref="A32:B33"/>
    <mergeCell ref="A13:A15"/>
    <mergeCell ref="A16:A18"/>
    <mergeCell ref="A19:B19"/>
    <mergeCell ref="A20:A22"/>
    <mergeCell ref="A23:B23"/>
    <mergeCell ref="C32:G32"/>
    <mergeCell ref="C56:G56"/>
    <mergeCell ref="A58:B58"/>
    <mergeCell ref="A37:A39"/>
    <mergeCell ref="A40:A42"/>
    <mergeCell ref="A43:B43"/>
    <mergeCell ref="A44:A46"/>
    <mergeCell ref="A47:B47"/>
    <mergeCell ref="A48:A50"/>
    <mergeCell ref="A34:A36"/>
    <mergeCell ref="A59:B59"/>
    <mergeCell ref="A60:B60"/>
    <mergeCell ref="A61:B61"/>
    <mergeCell ref="A62:B62"/>
    <mergeCell ref="A51:B51"/>
    <mergeCell ref="A52:B52"/>
    <mergeCell ref="A53:B53"/>
    <mergeCell ref="A56:B57"/>
  </mergeCells>
  <conditionalFormatting sqref="C14:G14 C17:G17 C38:G38 C41:G41 C11:G11 C21:G21 C25:G25 C35:G35 C45:G45 C49:G49">
    <cfRule type="expression" dxfId="32" priority="11">
      <formula>C10="Default"</formula>
    </cfRule>
  </conditionalFormatting>
  <conditionalFormatting sqref="C12:G12 C15:G15 C18:G18 C22:G22 C26:G26 C36:G36 C39:G39 C42:G42 C46:G46">
    <cfRule type="expression" dxfId="31" priority="10">
      <formula>C10="User Input"</formula>
    </cfRule>
  </conditionalFormatting>
  <conditionalFormatting sqref="C12:G12 C15:G15 C18:G18 C22:G22 C26:G26 C36:G36 C39:G39 C42:G42 C46:G46">
    <cfRule type="expression" dxfId="30" priority="9">
      <formula>AND(C10="User Input",OR(ISBLANK(C12)=TRUE,ISTEXT(C12)=TRUE,C12&lt;0))</formula>
    </cfRule>
  </conditionalFormatting>
  <conditionalFormatting sqref="C50:G50">
    <cfRule type="expression" dxfId="29" priority="7">
      <formula>AND(C48="User Input",OR(ISBLANK(C50)=TRUE,ISTEXT(C50)=TRUE,C50&lt;0))</formula>
    </cfRule>
    <cfRule type="expression" dxfId="28" priority="8">
      <formula>C48="User Input"</formula>
    </cfRule>
  </conditionalFormatting>
  <conditionalFormatting sqref="C19:G19 C43:G43">
    <cfRule type="expression" dxfId="27" priority="4">
      <formula>AND(C16="User Input",OR(ISBLANK(C18)=TRUE,ISTEXT(C18)=TRUE,C18&lt;0))</formula>
    </cfRule>
    <cfRule type="expression" dxfId="26" priority="5">
      <formula>AND(C13="User Input",OR(ISBLANK(C15)=TRUE,ISTEXT(C15)=TRUE,C15&lt;0))</formula>
    </cfRule>
    <cfRule type="expression" dxfId="25" priority="6">
      <formula>AND(C10="User Input",OR(ISBLANK(C12)=TRUE,ISTEXT(C12)=TRUE,C12&lt;0))</formula>
    </cfRule>
  </conditionalFormatting>
  <conditionalFormatting sqref="C23:G23 C27:G27 C47:G47 C51:G51">
    <cfRule type="expression" dxfId="24" priority="3">
      <formula>AND(C20="User Input",OR(ISBLANK(C22)=TRUE,ISTEXT(C22)=TRUE,C22&lt;0))</formula>
    </cfRule>
  </conditionalFormatting>
  <conditionalFormatting sqref="C42">
    <cfRule type="expression" dxfId="23" priority="2">
      <formula>AND(C40="User Input",OR(ISBLANK(C42)=TRUE,ISTEXT(C42)=TRUE,C42&lt;0))</formula>
    </cfRule>
  </conditionalFormatting>
  <conditionalFormatting sqref="C53:G53 C29:G29">
    <cfRule type="expression" dxfId="22" priority="1">
      <formula>ISERROR(C29)</formula>
    </cfRule>
  </conditionalFormatting>
  <dataValidations count="2">
    <dataValidation type="list" allowBlank="1" showInputMessage="1" showErrorMessage="1" sqref="C48:G48 C40:G40 C37:G37 C34:G34 C44:G44 C24:G24 C16:G16 C13:G13 C10:G10 C20:G20">
      <formula1>"Default,User Input"</formula1>
    </dataValidation>
    <dataValidation type="list" allowBlank="1" showInputMessage="1" showErrorMessage="1" sqref="B3">
      <formula1>States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INDIRECT(VLOOKUP(B3,'D:\Windows\LTRC Phase 2\Assorted Data and Work\[areawide-non-motorized_exposure_toolv3.xlsm]MPO Lookup List'!#REF!,2,FALSE))</xm:f>
          </x14:formula1>
          <xm:sqref>B4:D4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27" workbookViewId="0">
      <selection activeCell="F49" sqref="F49"/>
    </sheetView>
  </sheetViews>
  <sheetFormatPr defaultRowHeight="15" x14ac:dyDescent="0.25"/>
  <cols>
    <col min="1" max="1" width="37.42578125" bestFit="1" customWidth="1"/>
    <col min="2" max="2" width="16.42578125" bestFit="1" customWidth="1"/>
    <col min="3" max="7" width="15.42578125" customWidth="1"/>
    <col min="8" max="10" width="14.5703125" customWidth="1"/>
  </cols>
  <sheetData>
    <row r="1" spans="1:12" x14ac:dyDescent="0.25">
      <c r="A1" s="1" t="s">
        <v>59</v>
      </c>
      <c r="B1" s="1"/>
    </row>
    <row r="3" spans="1:12" x14ac:dyDescent="0.25">
      <c r="A3" s="2" t="s">
        <v>1</v>
      </c>
      <c r="B3" s="115" t="s">
        <v>2</v>
      </c>
      <c r="C3" s="115"/>
      <c r="D3" s="115"/>
    </row>
    <row r="4" spans="1:12" ht="40.15" customHeight="1" x14ac:dyDescent="0.25">
      <c r="A4" s="4" t="s">
        <v>60</v>
      </c>
      <c r="B4" s="131" t="s">
        <v>56</v>
      </c>
      <c r="C4" s="132"/>
      <c r="D4" s="132"/>
      <c r="F4" s="56"/>
      <c r="J4" s="3"/>
      <c r="K4" s="3"/>
      <c r="L4" s="3"/>
    </row>
    <row r="5" spans="1:12" ht="15.75" customHeight="1" x14ac:dyDescent="0.25">
      <c r="F5" s="3"/>
      <c r="G5" s="3"/>
      <c r="H5" s="3"/>
    </row>
    <row r="6" spans="1:12" ht="15.75" customHeight="1" x14ac:dyDescent="0.25">
      <c r="F6" s="3"/>
      <c r="G6" s="3"/>
      <c r="H6" s="3"/>
    </row>
    <row r="7" spans="1:12" ht="15.75" customHeight="1" thickBot="1" x14ac:dyDescent="0.3">
      <c r="F7" s="3"/>
      <c r="G7" s="3"/>
      <c r="H7" s="3"/>
      <c r="I7" s="3"/>
      <c r="J7" s="3"/>
      <c r="K7" s="3"/>
      <c r="L7" s="3"/>
    </row>
    <row r="8" spans="1:12" ht="15.75" thickTop="1" x14ac:dyDescent="0.25">
      <c r="A8" s="116"/>
      <c r="B8" s="117"/>
      <c r="C8" s="85" t="s">
        <v>3</v>
      </c>
      <c r="D8" s="86"/>
      <c r="E8" s="86"/>
      <c r="F8" s="86"/>
      <c r="G8" s="87"/>
    </row>
    <row r="9" spans="1:12" ht="15.75" thickBot="1" x14ac:dyDescent="0.3">
      <c r="A9" s="118"/>
      <c r="B9" s="119"/>
      <c r="C9" s="6">
        <v>2013</v>
      </c>
      <c r="D9" s="7">
        <v>2014</v>
      </c>
      <c r="E9" s="7">
        <v>2015</v>
      </c>
      <c r="F9" s="7">
        <v>2016</v>
      </c>
      <c r="G9" s="8">
        <v>2017</v>
      </c>
    </row>
    <row r="10" spans="1:12" ht="15.75" thickTop="1" x14ac:dyDescent="0.25">
      <c r="A10" s="130" t="s">
        <v>4</v>
      </c>
      <c r="B10" s="9" t="s">
        <v>5</v>
      </c>
      <c r="C10" s="10" t="s">
        <v>6</v>
      </c>
      <c r="D10" s="11" t="s">
        <v>6</v>
      </c>
      <c r="E10" s="11" t="s">
        <v>6</v>
      </c>
      <c r="F10" s="11" t="s">
        <v>6</v>
      </c>
      <c r="G10" s="12" t="s">
        <v>6</v>
      </c>
    </row>
    <row r="11" spans="1:12" x14ac:dyDescent="0.25">
      <c r="A11" s="112"/>
      <c r="B11" s="13" t="s">
        <v>7</v>
      </c>
      <c r="C11" s="14">
        <f>0.47332</f>
        <v>0.47332000000000002</v>
      </c>
      <c r="D11" s="14">
        <f t="shared" ref="D11:G11" si="0">0.47332</f>
        <v>0.47332000000000002</v>
      </c>
      <c r="E11" s="14">
        <f t="shared" si="0"/>
        <v>0.47332000000000002</v>
      </c>
      <c r="F11" s="14">
        <f t="shared" si="0"/>
        <v>0.47332000000000002</v>
      </c>
      <c r="G11" s="14">
        <f t="shared" si="0"/>
        <v>0.47332000000000002</v>
      </c>
    </row>
    <row r="12" spans="1:12" ht="15.75" thickBot="1" x14ac:dyDescent="0.3">
      <c r="A12" s="114"/>
      <c r="B12" s="16" t="s">
        <v>8</v>
      </c>
      <c r="C12" s="17"/>
      <c r="D12" s="17"/>
      <c r="E12" s="17"/>
      <c r="F12" s="17"/>
      <c r="G12" s="18"/>
    </row>
    <row r="13" spans="1:12" x14ac:dyDescent="0.25">
      <c r="A13" s="111" t="s">
        <v>61</v>
      </c>
      <c r="B13" s="19" t="s">
        <v>5</v>
      </c>
      <c r="C13" s="20" t="s">
        <v>6</v>
      </c>
      <c r="D13" s="21" t="s">
        <v>6</v>
      </c>
      <c r="E13" s="21" t="s">
        <v>6</v>
      </c>
      <c r="F13" s="21" t="s">
        <v>6</v>
      </c>
      <c r="G13" s="22" t="s">
        <v>6</v>
      </c>
    </row>
    <row r="14" spans="1:12" x14ac:dyDescent="0.25">
      <c r="A14" s="112"/>
      <c r="B14" s="13" t="s">
        <v>7</v>
      </c>
      <c r="C14" s="23">
        <f>1036434</f>
        <v>1036434</v>
      </c>
      <c r="D14" s="23">
        <f>1053119</f>
        <v>1053119</v>
      </c>
      <c r="E14" s="23">
        <f>1067511</f>
        <v>1067511</v>
      </c>
      <c r="F14" s="23">
        <v>1078453</v>
      </c>
      <c r="G14" s="24">
        <v>1087828</v>
      </c>
    </row>
    <row r="15" spans="1:12" ht="15.75" thickBot="1" x14ac:dyDescent="0.3">
      <c r="A15" s="114"/>
      <c r="B15" s="16" t="s">
        <v>8</v>
      </c>
      <c r="C15" s="17"/>
      <c r="D15" s="17"/>
      <c r="E15" s="17"/>
      <c r="F15" s="17"/>
      <c r="G15" s="18"/>
    </row>
    <row r="16" spans="1:12" x14ac:dyDescent="0.25">
      <c r="A16" s="111" t="s">
        <v>62</v>
      </c>
      <c r="B16" s="19" t="s">
        <v>5</v>
      </c>
      <c r="C16" s="20" t="s">
        <v>6</v>
      </c>
      <c r="D16" s="21" t="s">
        <v>6</v>
      </c>
      <c r="E16" s="21" t="s">
        <v>6</v>
      </c>
      <c r="F16" s="21" t="s">
        <v>6</v>
      </c>
      <c r="G16" s="22" t="s">
        <v>6</v>
      </c>
    </row>
    <row r="17" spans="1:7" x14ac:dyDescent="0.25">
      <c r="A17" s="112"/>
      <c r="B17" s="13" t="s">
        <v>7</v>
      </c>
      <c r="C17" s="14">
        <f>1.01874</f>
        <v>1.01874</v>
      </c>
      <c r="D17" s="14">
        <f>1.02801</f>
        <v>1.0280100000000001</v>
      </c>
      <c r="E17" s="14">
        <v>1.02939</v>
      </c>
      <c r="F17" s="14">
        <f>1</f>
        <v>1</v>
      </c>
      <c r="G17" s="15">
        <f>1.03002</f>
        <v>1.0300199999999999</v>
      </c>
    </row>
    <row r="18" spans="1:7" ht="15.75" thickBot="1" x14ac:dyDescent="0.3">
      <c r="A18" s="113"/>
      <c r="B18" s="16" t="s">
        <v>8</v>
      </c>
      <c r="C18" s="17"/>
      <c r="D18" s="17"/>
      <c r="E18" s="17"/>
      <c r="F18" s="17"/>
      <c r="G18" s="18"/>
    </row>
    <row r="19" spans="1:7" ht="15.75" thickBot="1" x14ac:dyDescent="0.3">
      <c r="A19" s="109" t="s">
        <v>11</v>
      </c>
      <c r="B19" s="110"/>
      <c r="C19" s="25">
        <v>182411716.67331329</v>
      </c>
      <c r="D19" s="26">
        <v>187034837.99505815</v>
      </c>
      <c r="E19" s="26">
        <v>189845376.21184734</v>
      </c>
      <c r="F19" s="26">
        <v>186315481.49540001</v>
      </c>
      <c r="G19" s="27">
        <v>193576935.7739794</v>
      </c>
    </row>
    <row r="20" spans="1:7" x14ac:dyDescent="0.25">
      <c r="A20" s="111" t="s">
        <v>12</v>
      </c>
      <c r="B20" s="19" t="s">
        <v>5</v>
      </c>
      <c r="C20" s="20" t="s">
        <v>6</v>
      </c>
      <c r="D20" s="21" t="s">
        <v>6</v>
      </c>
      <c r="E20" s="21" t="s">
        <v>6</v>
      </c>
      <c r="F20" s="21" t="s">
        <v>6</v>
      </c>
      <c r="G20" s="22" t="s">
        <v>6</v>
      </c>
    </row>
    <row r="21" spans="1:7" x14ac:dyDescent="0.25">
      <c r="A21" s="112"/>
      <c r="B21" s="13" t="s">
        <v>7</v>
      </c>
      <c r="C21" s="14">
        <f>0.68325</f>
        <v>0.68325000000000002</v>
      </c>
      <c r="D21" s="14">
        <f t="shared" ref="D21:G21" si="1">0.68325</f>
        <v>0.68325000000000002</v>
      </c>
      <c r="E21" s="14">
        <f t="shared" si="1"/>
        <v>0.68325000000000002</v>
      </c>
      <c r="F21" s="14">
        <f t="shared" si="1"/>
        <v>0.68325000000000002</v>
      </c>
      <c r="G21" s="14">
        <f t="shared" si="1"/>
        <v>0.68325000000000002</v>
      </c>
    </row>
    <row r="22" spans="1:7" ht="15.75" thickBot="1" x14ac:dyDescent="0.3">
      <c r="A22" s="113"/>
      <c r="B22" s="16" t="s">
        <v>8</v>
      </c>
      <c r="C22" s="17"/>
      <c r="D22" s="17"/>
      <c r="E22" s="17"/>
      <c r="F22" s="17"/>
      <c r="G22" s="18"/>
    </row>
    <row r="23" spans="1:7" ht="15.75" thickBot="1" x14ac:dyDescent="0.3">
      <c r="A23" s="109" t="s">
        <v>13</v>
      </c>
      <c r="B23" s="110"/>
      <c r="C23" s="25">
        <v>124632805.41704132</v>
      </c>
      <c r="D23" s="26">
        <v>127791553.06012349</v>
      </c>
      <c r="E23" s="26">
        <v>129711853.29674469</v>
      </c>
      <c r="F23" s="26">
        <v>127300052.73173206</v>
      </c>
      <c r="G23" s="27">
        <v>132261441.36757143</v>
      </c>
    </row>
    <row r="24" spans="1:7" x14ac:dyDescent="0.25">
      <c r="A24" s="111" t="s">
        <v>14</v>
      </c>
      <c r="B24" s="19" t="s">
        <v>5</v>
      </c>
      <c r="C24" s="20" t="s">
        <v>6</v>
      </c>
      <c r="D24" s="21" t="s">
        <v>6</v>
      </c>
      <c r="E24" s="21" t="s">
        <v>6</v>
      </c>
      <c r="F24" s="21" t="s">
        <v>6</v>
      </c>
      <c r="G24" s="22" t="s">
        <v>6</v>
      </c>
    </row>
    <row r="25" spans="1:7" x14ac:dyDescent="0.25">
      <c r="A25" s="112"/>
      <c r="B25" s="13" t="s">
        <v>7</v>
      </c>
      <c r="C25" s="14">
        <f>17.09614</f>
        <v>17.096139999999998</v>
      </c>
      <c r="D25" s="14">
        <f t="shared" ref="D25:G25" si="2">17.09614</f>
        <v>17.096139999999998</v>
      </c>
      <c r="E25" s="14">
        <f t="shared" si="2"/>
        <v>17.096139999999998</v>
      </c>
      <c r="F25" s="14">
        <f t="shared" si="2"/>
        <v>17.096139999999998</v>
      </c>
      <c r="G25" s="14">
        <f t="shared" si="2"/>
        <v>17.096139999999998</v>
      </c>
    </row>
    <row r="26" spans="1:7" ht="15.75" thickBot="1" x14ac:dyDescent="0.3">
      <c r="A26" s="114"/>
      <c r="B26" s="16" t="s">
        <v>8</v>
      </c>
      <c r="C26" s="28"/>
      <c r="D26" s="29"/>
      <c r="E26" s="29"/>
      <c r="F26" s="29"/>
      <c r="G26" s="30"/>
    </row>
    <row r="27" spans="1:7" ht="15.75" thickBot="1" x14ac:dyDescent="0.3">
      <c r="A27" s="109" t="s">
        <v>15</v>
      </c>
      <c r="B27" s="110"/>
      <c r="C27" s="31">
        <v>51975604.098121636</v>
      </c>
      <c r="D27" s="32">
        <v>53292896.254013889</v>
      </c>
      <c r="E27" s="32">
        <v>54093718.834506854</v>
      </c>
      <c r="F27" s="32">
        <v>53087925.930212796</v>
      </c>
      <c r="G27" s="33">
        <v>55156973.24604933</v>
      </c>
    </row>
    <row r="28" spans="1:7" x14ac:dyDescent="0.25">
      <c r="A28" s="98" t="s">
        <v>16</v>
      </c>
      <c r="B28" s="99"/>
      <c r="C28" s="34">
        <v>24</v>
      </c>
      <c r="D28" s="35">
        <v>29</v>
      </c>
      <c r="E28" s="35">
        <v>19</v>
      </c>
      <c r="F28" s="35">
        <v>24</v>
      </c>
      <c r="G28" s="36">
        <v>26</v>
      </c>
    </row>
    <row r="29" spans="1:7" ht="15.75" thickBot="1" x14ac:dyDescent="0.3">
      <c r="A29" s="100" t="s">
        <v>17</v>
      </c>
      <c r="B29" s="101"/>
      <c r="C29" s="37">
        <v>0.46175509484587873</v>
      </c>
      <c r="D29" s="38">
        <v>0.54416258147756025</v>
      </c>
      <c r="E29" s="38">
        <v>0.3512422589788694</v>
      </c>
      <c r="F29" s="38">
        <v>0.45208019675791089</v>
      </c>
      <c r="G29" s="39">
        <v>0.47138192090448461</v>
      </c>
    </row>
    <row r="30" spans="1:7" ht="15.75" thickTop="1" x14ac:dyDescent="0.25"/>
    <row r="31" spans="1:7" ht="15.75" thickBot="1" x14ac:dyDescent="0.3"/>
    <row r="32" spans="1:7" ht="15.75" thickTop="1" x14ac:dyDescent="0.25">
      <c r="A32" s="102"/>
      <c r="B32" s="103"/>
      <c r="C32" s="85" t="s">
        <v>18</v>
      </c>
      <c r="D32" s="86"/>
      <c r="E32" s="86"/>
      <c r="F32" s="86"/>
      <c r="G32" s="87"/>
    </row>
    <row r="33" spans="1:7" ht="15.75" thickBot="1" x14ac:dyDescent="0.3">
      <c r="A33" s="104"/>
      <c r="B33" s="105"/>
      <c r="C33" s="40">
        <v>2013</v>
      </c>
      <c r="D33" s="41">
        <v>2014</v>
      </c>
      <c r="E33" s="41">
        <v>2015</v>
      </c>
      <c r="F33" s="41">
        <v>2016</v>
      </c>
      <c r="G33" s="42">
        <v>2017</v>
      </c>
    </row>
    <row r="34" spans="1:7" ht="15.75" thickTop="1" x14ac:dyDescent="0.25">
      <c r="A34" s="88" t="s">
        <v>4</v>
      </c>
      <c r="B34" s="43" t="s">
        <v>5</v>
      </c>
      <c r="C34" s="10" t="s">
        <v>6</v>
      </c>
      <c r="D34" s="11" t="s">
        <v>6</v>
      </c>
      <c r="E34" s="11" t="s">
        <v>6</v>
      </c>
      <c r="F34" s="11" t="s">
        <v>6</v>
      </c>
      <c r="G34" s="12" t="s">
        <v>6</v>
      </c>
    </row>
    <row r="35" spans="1:7" x14ac:dyDescent="0.25">
      <c r="A35" s="89"/>
      <c r="B35" s="44" t="s">
        <v>7</v>
      </c>
      <c r="C35" s="14">
        <f>0.06451</f>
        <v>6.4509999999999998E-2</v>
      </c>
      <c r="D35" s="14">
        <f t="shared" ref="D35:G35" si="3">0.06451</f>
        <v>6.4509999999999998E-2</v>
      </c>
      <c r="E35" s="14">
        <f t="shared" si="3"/>
        <v>6.4509999999999998E-2</v>
      </c>
      <c r="F35" s="14">
        <f t="shared" si="3"/>
        <v>6.4509999999999998E-2</v>
      </c>
      <c r="G35" s="14">
        <f t="shared" si="3"/>
        <v>6.4509999999999998E-2</v>
      </c>
    </row>
    <row r="36" spans="1:7" ht="15.75" thickBot="1" x14ac:dyDescent="0.3">
      <c r="A36" s="90"/>
      <c r="B36" s="45" t="s">
        <v>8</v>
      </c>
      <c r="C36" s="28"/>
      <c r="D36" s="29"/>
      <c r="E36" s="29"/>
      <c r="F36" s="29"/>
      <c r="G36" s="30"/>
    </row>
    <row r="37" spans="1:7" x14ac:dyDescent="0.25">
      <c r="A37" s="94" t="s">
        <v>61</v>
      </c>
      <c r="B37" s="46" t="s">
        <v>5</v>
      </c>
      <c r="C37" s="20" t="s">
        <v>6</v>
      </c>
      <c r="D37" s="21" t="s">
        <v>6</v>
      </c>
      <c r="E37" s="21" t="s">
        <v>6</v>
      </c>
      <c r="F37" s="21" t="s">
        <v>6</v>
      </c>
      <c r="G37" s="22" t="s">
        <v>6</v>
      </c>
    </row>
    <row r="38" spans="1:7" x14ac:dyDescent="0.25">
      <c r="A38" s="89"/>
      <c r="B38" s="44" t="s">
        <v>7</v>
      </c>
      <c r="C38" s="23">
        <v>1036434</v>
      </c>
      <c r="D38" s="23">
        <v>1053119</v>
      </c>
      <c r="E38" s="23">
        <v>1067511</v>
      </c>
      <c r="F38" s="23">
        <v>1078453</v>
      </c>
      <c r="G38" s="24">
        <v>1087828</v>
      </c>
    </row>
    <row r="39" spans="1:7" ht="15.75" thickBot="1" x14ac:dyDescent="0.3">
      <c r="A39" s="90"/>
      <c r="B39" s="45" t="s">
        <v>8</v>
      </c>
      <c r="C39" s="28"/>
      <c r="D39" s="29"/>
      <c r="E39" s="29"/>
      <c r="F39" s="29"/>
      <c r="G39" s="30"/>
    </row>
    <row r="40" spans="1:7" x14ac:dyDescent="0.25">
      <c r="A40" s="94" t="s">
        <v>63</v>
      </c>
      <c r="B40" s="46" t="s">
        <v>5</v>
      </c>
      <c r="C40" s="20" t="s">
        <v>6</v>
      </c>
      <c r="D40" s="21" t="s">
        <v>6</v>
      </c>
      <c r="E40" s="21" t="s">
        <v>6</v>
      </c>
      <c r="F40" s="21" t="s">
        <v>6</v>
      </c>
      <c r="G40" s="22" t="s">
        <v>6</v>
      </c>
    </row>
    <row r="41" spans="1:7" x14ac:dyDescent="0.25">
      <c r="A41" s="89"/>
      <c r="B41" s="44" t="s">
        <v>7</v>
      </c>
      <c r="C41" s="14">
        <f>0.79676</f>
        <v>0.79676000000000002</v>
      </c>
      <c r="D41" s="14">
        <f>0.89583</f>
        <v>0.89583000000000002</v>
      </c>
      <c r="E41" s="14">
        <f>0.99745</f>
        <v>0.99744999999999995</v>
      </c>
      <c r="F41" s="14">
        <f>1</f>
        <v>1</v>
      </c>
      <c r="G41" s="15">
        <f>1.03267</f>
        <v>1.03267</v>
      </c>
    </row>
    <row r="42" spans="1:7" ht="15.75" thickBot="1" x14ac:dyDescent="0.3">
      <c r="A42" s="95"/>
      <c r="B42" s="45" t="s">
        <v>8</v>
      </c>
      <c r="C42" s="28"/>
      <c r="D42" s="29"/>
      <c r="E42" s="29"/>
      <c r="F42" s="29"/>
      <c r="G42" s="30"/>
    </row>
    <row r="43" spans="1:7" ht="15.75" thickBot="1" x14ac:dyDescent="0.3">
      <c r="A43" s="96" t="s">
        <v>19</v>
      </c>
      <c r="B43" s="97"/>
      <c r="C43" s="31">
        <v>19444155.284689717</v>
      </c>
      <c r="D43" s="32">
        <v>22213805.083247483</v>
      </c>
      <c r="E43" s="32">
        <v>25071677.908611741</v>
      </c>
      <c r="F43" s="32">
        <v>25393416.105949998</v>
      </c>
      <c r="G43" s="33">
        <v>26450975.910636071</v>
      </c>
    </row>
    <row r="44" spans="1:7" x14ac:dyDescent="0.25">
      <c r="A44" s="94" t="s">
        <v>12</v>
      </c>
      <c r="B44" s="46" t="s">
        <v>5</v>
      </c>
      <c r="C44" s="20" t="s">
        <v>6</v>
      </c>
      <c r="D44" s="21" t="s">
        <v>6</v>
      </c>
      <c r="E44" s="21" t="s">
        <v>6</v>
      </c>
      <c r="F44" s="21" t="s">
        <v>6</v>
      </c>
      <c r="G44" s="22" t="s">
        <v>6</v>
      </c>
    </row>
    <row r="45" spans="1:7" x14ac:dyDescent="0.25">
      <c r="A45" s="89"/>
      <c r="B45" s="44" t="s">
        <v>7</v>
      </c>
      <c r="C45" s="14">
        <f>2.69004</f>
        <v>2.6900400000000002</v>
      </c>
      <c r="D45" s="14">
        <f t="shared" ref="D45:G45" si="4">2.69004</f>
        <v>2.6900400000000002</v>
      </c>
      <c r="E45" s="14">
        <f t="shared" si="4"/>
        <v>2.6900400000000002</v>
      </c>
      <c r="F45" s="14">
        <f t="shared" si="4"/>
        <v>2.6900400000000002</v>
      </c>
      <c r="G45" s="14">
        <f t="shared" si="4"/>
        <v>2.6900400000000002</v>
      </c>
    </row>
    <row r="46" spans="1:7" ht="15.75" thickBot="1" x14ac:dyDescent="0.3">
      <c r="A46" s="95"/>
      <c r="B46" s="45" t="s">
        <v>8</v>
      </c>
      <c r="C46" s="28"/>
      <c r="D46" s="29"/>
      <c r="E46" s="29"/>
      <c r="F46" s="29"/>
      <c r="G46" s="30"/>
    </row>
    <row r="47" spans="1:7" ht="15.75" thickBot="1" x14ac:dyDescent="0.3">
      <c r="A47" s="96" t="s">
        <v>20</v>
      </c>
      <c r="B47" s="97"/>
      <c r="C47" s="31">
        <v>52305555.482026733</v>
      </c>
      <c r="D47" s="32">
        <v>59756024.226139061</v>
      </c>
      <c r="E47" s="32">
        <v>67443816.44128193</v>
      </c>
      <c r="F47" s="32">
        <v>68309305.06164974</v>
      </c>
      <c r="G47" s="33">
        <v>71154183.238647461</v>
      </c>
    </row>
    <row r="48" spans="1:7" x14ac:dyDescent="0.25">
      <c r="A48" s="94" t="s">
        <v>14</v>
      </c>
      <c r="B48" s="46" t="s">
        <v>5</v>
      </c>
      <c r="C48" s="20" t="s">
        <v>6</v>
      </c>
      <c r="D48" s="21" t="s">
        <v>6</v>
      </c>
      <c r="E48" s="21" t="s">
        <v>6</v>
      </c>
      <c r="F48" s="21" t="s">
        <v>6</v>
      </c>
      <c r="G48" s="22" t="s">
        <v>6</v>
      </c>
    </row>
    <row r="49" spans="1:7" x14ac:dyDescent="0.25">
      <c r="A49" s="89"/>
      <c r="B49" s="44" t="s">
        <v>7</v>
      </c>
      <c r="C49" s="14">
        <f>23.38978</f>
        <v>23.389779999999998</v>
      </c>
      <c r="D49" s="14">
        <f t="shared" ref="D49:G49" si="5">23.38978</f>
        <v>23.389779999999998</v>
      </c>
      <c r="E49" s="14">
        <f t="shared" si="5"/>
        <v>23.389779999999998</v>
      </c>
      <c r="F49" s="14">
        <f t="shared" si="5"/>
        <v>23.389779999999998</v>
      </c>
      <c r="G49" s="14">
        <f t="shared" si="5"/>
        <v>23.389779999999998</v>
      </c>
    </row>
    <row r="50" spans="1:7" ht="15.75" thickBot="1" x14ac:dyDescent="0.3">
      <c r="A50" s="90"/>
      <c r="B50" s="45" t="s">
        <v>8</v>
      </c>
      <c r="C50" s="28"/>
      <c r="D50" s="29"/>
      <c r="E50" s="29"/>
      <c r="F50" s="29"/>
      <c r="G50" s="30"/>
    </row>
    <row r="51" spans="1:7" ht="15.75" thickBot="1" x14ac:dyDescent="0.3">
      <c r="A51" s="96" t="s">
        <v>21</v>
      </c>
      <c r="B51" s="97"/>
      <c r="C51" s="31">
        <v>7579908.5732454965</v>
      </c>
      <c r="D51" s="32">
        <v>8659600.2310006712</v>
      </c>
      <c r="E51" s="32">
        <v>9773683.8418881446</v>
      </c>
      <c r="F51" s="32">
        <v>9899106.9361104518</v>
      </c>
      <c r="G51" s="33">
        <v>10311375.122251289</v>
      </c>
    </row>
    <row r="52" spans="1:7" x14ac:dyDescent="0.25">
      <c r="A52" s="77" t="s">
        <v>16</v>
      </c>
      <c r="B52" s="78"/>
      <c r="C52" s="34">
        <v>7</v>
      </c>
      <c r="D52" s="35">
        <v>3</v>
      </c>
      <c r="E52" s="35">
        <v>9</v>
      </c>
      <c r="F52" s="35">
        <v>7</v>
      </c>
      <c r="G52" s="36">
        <v>7</v>
      </c>
    </row>
    <row r="53" spans="1:7" ht="15.75" thickBot="1" x14ac:dyDescent="0.3">
      <c r="A53" s="79" t="s">
        <v>17</v>
      </c>
      <c r="B53" s="80"/>
      <c r="C53" s="37">
        <v>0.92349398839817454</v>
      </c>
      <c r="D53" s="38">
        <v>0.34643631576204198</v>
      </c>
      <c r="E53" s="38">
        <v>0.9208400993520699</v>
      </c>
      <c r="F53" s="38">
        <v>0.70713449659433969</v>
      </c>
      <c r="G53" s="39">
        <v>0.67886192840511128</v>
      </c>
    </row>
    <row r="54" spans="1:7" ht="15.75" thickTop="1" x14ac:dyDescent="0.25"/>
    <row r="55" spans="1:7" ht="15.75" thickBot="1" x14ac:dyDescent="0.3"/>
    <row r="56" spans="1:7" ht="15.75" thickTop="1" x14ac:dyDescent="0.25">
      <c r="A56" s="81"/>
      <c r="B56" s="82"/>
      <c r="C56" s="85" t="s">
        <v>22</v>
      </c>
      <c r="D56" s="86"/>
      <c r="E56" s="86"/>
      <c r="F56" s="86"/>
      <c r="G56" s="87"/>
    </row>
    <row r="57" spans="1:7" ht="15.75" thickBot="1" x14ac:dyDescent="0.3">
      <c r="A57" s="83"/>
      <c r="B57" s="84"/>
      <c r="C57" s="6">
        <v>2013</v>
      </c>
      <c r="D57" s="7">
        <v>2014</v>
      </c>
      <c r="E57" s="7">
        <v>2015</v>
      </c>
      <c r="F57" s="7">
        <v>2016</v>
      </c>
      <c r="G57" s="8">
        <v>2017</v>
      </c>
    </row>
    <row r="58" spans="1:7" x14ac:dyDescent="0.25">
      <c r="A58" s="91" t="s">
        <v>23</v>
      </c>
      <c r="B58" s="92"/>
      <c r="C58" s="47">
        <v>201855871.95800301</v>
      </c>
      <c r="D58" s="48">
        <v>209248643.07830563</v>
      </c>
      <c r="E58" s="48">
        <v>214917054.12045908</v>
      </c>
      <c r="F58" s="48">
        <v>211708897.60135001</v>
      </c>
      <c r="G58" s="49">
        <v>220027911.68461546</v>
      </c>
    </row>
    <row r="59" spans="1:7" x14ac:dyDescent="0.25">
      <c r="A59" s="93" t="s">
        <v>24</v>
      </c>
      <c r="B59" s="74"/>
      <c r="C59" s="50">
        <v>176938360.89906806</v>
      </c>
      <c r="D59" s="51">
        <v>187547577.28626254</v>
      </c>
      <c r="E59" s="51">
        <v>197155669.73802662</v>
      </c>
      <c r="F59" s="51">
        <v>195609357.79338181</v>
      </c>
      <c r="G59" s="52">
        <v>203415624.60621887</v>
      </c>
    </row>
    <row r="60" spans="1:7" x14ac:dyDescent="0.25">
      <c r="A60" s="73" t="s">
        <v>25</v>
      </c>
      <c r="B60" s="74"/>
      <c r="C60" s="50">
        <v>59555512.671367131</v>
      </c>
      <c r="D60" s="51">
        <v>61952496.485014558</v>
      </c>
      <c r="E60" s="51">
        <v>63867402.676394999</v>
      </c>
      <c r="F60" s="51">
        <v>62987032.866323248</v>
      </c>
      <c r="G60" s="52">
        <v>65468348.368300617</v>
      </c>
    </row>
    <row r="61" spans="1:7" x14ac:dyDescent="0.25">
      <c r="A61" s="73" t="s">
        <v>26</v>
      </c>
      <c r="B61" s="74"/>
      <c r="C61" s="53">
        <v>31</v>
      </c>
      <c r="D61" s="54">
        <v>32</v>
      </c>
      <c r="E61" s="54">
        <v>28</v>
      </c>
      <c r="F61" s="54">
        <v>31</v>
      </c>
      <c r="G61" s="55">
        <v>33</v>
      </c>
    </row>
    <row r="62" spans="1:7" ht="15.75" thickBot="1" x14ac:dyDescent="0.3">
      <c r="A62" s="75" t="s">
        <v>27</v>
      </c>
      <c r="B62" s="76"/>
      <c r="C62" s="37">
        <v>0.52052276287269805</v>
      </c>
      <c r="D62" s="38">
        <v>0.51652478617613662</v>
      </c>
      <c r="E62" s="38">
        <v>0.43840830888131022</v>
      </c>
      <c r="F62" s="38">
        <v>0.49216479312164124</v>
      </c>
      <c r="G62" s="39">
        <v>0.50406037149973992</v>
      </c>
    </row>
    <row r="63" spans="1:7" ht="15.75" thickTop="1" x14ac:dyDescent="0.25"/>
  </sheetData>
  <mergeCells count="33">
    <mergeCell ref="A10:A12"/>
    <mergeCell ref="B3:D3"/>
    <mergeCell ref="B4:D4"/>
    <mergeCell ref="A8:B9"/>
    <mergeCell ref="C8:G8"/>
    <mergeCell ref="A24:A26"/>
    <mergeCell ref="A27:B27"/>
    <mergeCell ref="A28:B28"/>
    <mergeCell ref="A29:B29"/>
    <mergeCell ref="A32:B33"/>
    <mergeCell ref="A13:A15"/>
    <mergeCell ref="A16:A18"/>
    <mergeCell ref="A19:B19"/>
    <mergeCell ref="A20:A22"/>
    <mergeCell ref="A23:B23"/>
    <mergeCell ref="C32:G32"/>
    <mergeCell ref="C56:G56"/>
    <mergeCell ref="A58:B58"/>
    <mergeCell ref="A37:A39"/>
    <mergeCell ref="A40:A42"/>
    <mergeCell ref="A43:B43"/>
    <mergeCell ref="A44:A46"/>
    <mergeCell ref="A47:B47"/>
    <mergeCell ref="A48:A50"/>
    <mergeCell ref="A34:A36"/>
    <mergeCell ref="A59:B59"/>
    <mergeCell ref="A60:B60"/>
    <mergeCell ref="A61:B61"/>
    <mergeCell ref="A62:B62"/>
    <mergeCell ref="A51:B51"/>
    <mergeCell ref="A52:B52"/>
    <mergeCell ref="A53:B53"/>
    <mergeCell ref="A56:B57"/>
  </mergeCells>
  <conditionalFormatting sqref="C14:G14 C17:G17 C38:G38 C41:G41 C11:G11 C21:G21 C25:G25 C35:G35 C45:G45 C49:G49">
    <cfRule type="expression" dxfId="21" priority="11">
      <formula>C10="Default"</formula>
    </cfRule>
  </conditionalFormatting>
  <conditionalFormatting sqref="C12:G12 C15:G15 C18:G18 C22:G22 C26:G26 C36:G36 C39:G39 C42:G42 C46:G46">
    <cfRule type="expression" dxfId="20" priority="10">
      <formula>C10="User Input"</formula>
    </cfRule>
  </conditionalFormatting>
  <conditionalFormatting sqref="C12:G12 C15:G15 C18:G18 C22:G22 C26:G26 C36:G36 C39:G39 C42:G42 C46:G46">
    <cfRule type="expression" dxfId="19" priority="9">
      <formula>AND(C10="User Input",OR(ISBLANK(C12)=TRUE,ISTEXT(C12)=TRUE,C12&lt;0))</formula>
    </cfRule>
  </conditionalFormatting>
  <conditionalFormatting sqref="C50:G50">
    <cfRule type="expression" dxfId="18" priority="7">
      <formula>AND(C48="User Input",OR(ISBLANK(C50)=TRUE,ISTEXT(C50)=TRUE,C50&lt;0))</formula>
    </cfRule>
    <cfRule type="expression" dxfId="17" priority="8">
      <formula>C48="User Input"</formula>
    </cfRule>
  </conditionalFormatting>
  <conditionalFormatting sqref="C19:G19 C43:G43">
    <cfRule type="expression" dxfId="16" priority="4">
      <formula>AND(C16="User Input",OR(ISBLANK(C18)=TRUE,ISTEXT(C18)=TRUE,C18&lt;0))</formula>
    </cfRule>
    <cfRule type="expression" dxfId="15" priority="5">
      <formula>AND(C13="User Input",OR(ISBLANK(C15)=TRUE,ISTEXT(C15)=TRUE,C15&lt;0))</formula>
    </cfRule>
    <cfRule type="expression" dxfId="14" priority="6">
      <formula>AND(C10="User Input",OR(ISBLANK(C12)=TRUE,ISTEXT(C12)=TRUE,C12&lt;0))</formula>
    </cfRule>
  </conditionalFormatting>
  <conditionalFormatting sqref="C23:G23 C27:G27 C47:G47 C51:G51">
    <cfRule type="expression" dxfId="13" priority="3">
      <formula>AND(C20="User Input",OR(ISBLANK(C22)=TRUE,ISTEXT(C22)=TRUE,C22&lt;0))</formula>
    </cfRule>
  </conditionalFormatting>
  <conditionalFormatting sqref="C42">
    <cfRule type="expression" dxfId="12" priority="2">
      <formula>AND(C40="User Input",OR(ISBLANK(C42)=TRUE,ISTEXT(C42)=TRUE,C42&lt;0))</formula>
    </cfRule>
  </conditionalFormatting>
  <conditionalFormatting sqref="C53:G53 C29:G29">
    <cfRule type="expression" dxfId="11" priority="1">
      <formula>ISERROR(C29)</formula>
    </cfRule>
  </conditionalFormatting>
  <dataValidations count="2">
    <dataValidation type="list" allowBlank="1" showInputMessage="1" showErrorMessage="1" sqref="C48:G48 C40:G40 C37:G37 C34:G34 C44:G44 C24:G24 C16:G16 C13:G13 C10:G10 C20:G20">
      <formula1>"Default,User Input"</formula1>
    </dataValidation>
    <dataValidation type="list" allowBlank="1" showInputMessage="1" showErrorMessage="1" sqref="B3">
      <formula1>States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INDIRECT(VLOOKUP(B3,'D:\Windows\LTRC Phase 2\Assorted Data and Work\[areawide-non-motorized_exposure_toolv3.xlsm]MPO Lookup List'!#REF!,2,FALSE))</xm:f>
          </x14:formula1>
          <xm:sqref>B4:D4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106" workbookViewId="0">
      <selection activeCell="E3" sqref="E3"/>
    </sheetView>
  </sheetViews>
  <sheetFormatPr defaultRowHeight="15" x14ac:dyDescent="0.25"/>
  <cols>
    <col min="1" max="1" width="37.42578125" bestFit="1" customWidth="1"/>
    <col min="2" max="2" width="16.42578125" bestFit="1" customWidth="1"/>
    <col min="3" max="7" width="15.42578125" customWidth="1"/>
    <col min="8" max="10" width="14.5703125" customWidth="1"/>
  </cols>
  <sheetData>
    <row r="1" spans="1:12" x14ac:dyDescent="0.25">
      <c r="A1" s="1" t="s">
        <v>59</v>
      </c>
      <c r="B1" s="1"/>
    </row>
    <row r="3" spans="1:12" x14ac:dyDescent="0.25">
      <c r="A3" s="2" t="s">
        <v>1</v>
      </c>
      <c r="B3" s="115" t="s">
        <v>2</v>
      </c>
      <c r="C3" s="115"/>
      <c r="D3" s="115"/>
    </row>
    <row r="4" spans="1:12" ht="40.15" customHeight="1" x14ac:dyDescent="0.25">
      <c r="A4" s="4" t="s">
        <v>60</v>
      </c>
      <c r="B4" s="131" t="s">
        <v>57</v>
      </c>
      <c r="C4" s="132"/>
      <c r="D4" s="132"/>
      <c r="F4" s="56"/>
      <c r="J4" s="3"/>
      <c r="K4" s="3"/>
      <c r="L4" s="3"/>
    </row>
    <row r="5" spans="1:12" ht="15.75" customHeight="1" x14ac:dyDescent="0.25">
      <c r="F5" s="3"/>
      <c r="G5" s="3"/>
      <c r="H5" s="3"/>
    </row>
    <row r="6" spans="1:12" ht="15.75" customHeight="1" x14ac:dyDescent="0.25">
      <c r="F6" s="3"/>
      <c r="G6" s="3"/>
      <c r="H6" s="3"/>
    </row>
    <row r="7" spans="1:12" ht="15.75" customHeight="1" thickBot="1" x14ac:dyDescent="0.3">
      <c r="F7" s="3"/>
      <c r="G7" s="3"/>
      <c r="H7" s="3"/>
      <c r="I7" s="3"/>
      <c r="J7" s="3"/>
      <c r="K7" s="3"/>
      <c r="L7" s="3"/>
    </row>
    <row r="8" spans="1:12" ht="15.75" thickTop="1" x14ac:dyDescent="0.25">
      <c r="A8" s="116"/>
      <c r="B8" s="117"/>
      <c r="C8" s="85" t="s">
        <v>3</v>
      </c>
      <c r="D8" s="86"/>
      <c r="E8" s="86"/>
      <c r="F8" s="86"/>
      <c r="G8" s="87"/>
    </row>
    <row r="9" spans="1:12" ht="15.75" thickBot="1" x14ac:dyDescent="0.3">
      <c r="A9" s="118"/>
      <c r="B9" s="119"/>
      <c r="C9" s="6">
        <v>2013</v>
      </c>
      <c r="D9" s="7">
        <v>2014</v>
      </c>
      <c r="E9" s="7">
        <v>2015</v>
      </c>
      <c r="F9" s="7">
        <v>2016</v>
      </c>
      <c r="G9" s="8">
        <v>2017</v>
      </c>
    </row>
    <row r="10" spans="1:12" ht="15.75" thickTop="1" x14ac:dyDescent="0.25">
      <c r="A10" s="130" t="s">
        <v>4</v>
      </c>
      <c r="B10" s="9" t="s">
        <v>5</v>
      </c>
      <c r="C10" s="10" t="s">
        <v>6</v>
      </c>
      <c r="D10" s="11" t="s">
        <v>6</v>
      </c>
      <c r="E10" s="11" t="s">
        <v>6</v>
      </c>
      <c r="F10" s="11" t="s">
        <v>6</v>
      </c>
      <c r="G10" s="12" t="s">
        <v>6</v>
      </c>
    </row>
    <row r="11" spans="1:12" x14ac:dyDescent="0.25">
      <c r="A11" s="112"/>
      <c r="B11" s="13" t="s">
        <v>7</v>
      </c>
      <c r="C11" s="14">
        <f>0.37294</f>
        <v>0.37293999999999999</v>
      </c>
      <c r="D11" s="14">
        <f t="shared" ref="D11:G11" si="0">0.37294</f>
        <v>0.37293999999999999</v>
      </c>
      <c r="E11" s="14">
        <f t="shared" si="0"/>
        <v>0.37293999999999999</v>
      </c>
      <c r="F11" s="14">
        <f t="shared" si="0"/>
        <v>0.37293999999999999</v>
      </c>
      <c r="G11" s="14">
        <f t="shared" si="0"/>
        <v>0.37293999999999999</v>
      </c>
    </row>
    <row r="12" spans="1:12" ht="15.75" thickBot="1" x14ac:dyDescent="0.3">
      <c r="A12" s="114"/>
      <c r="B12" s="16" t="s">
        <v>8</v>
      </c>
      <c r="C12" s="17"/>
      <c r="D12" s="17"/>
      <c r="E12" s="17"/>
      <c r="F12" s="17"/>
      <c r="G12" s="18"/>
    </row>
    <row r="13" spans="1:12" x14ac:dyDescent="0.25">
      <c r="A13" s="111" t="s">
        <v>61</v>
      </c>
      <c r="B13" s="19" t="s">
        <v>5</v>
      </c>
      <c r="C13" s="20" t="s">
        <v>6</v>
      </c>
      <c r="D13" s="21" t="s">
        <v>6</v>
      </c>
      <c r="E13" s="21" t="s">
        <v>6</v>
      </c>
      <c r="F13" s="21" t="s">
        <v>6</v>
      </c>
      <c r="G13" s="22" t="s">
        <v>6</v>
      </c>
    </row>
    <row r="14" spans="1:12" x14ac:dyDescent="0.25">
      <c r="A14" s="112"/>
      <c r="B14" s="13" t="s">
        <v>7</v>
      </c>
      <c r="C14" s="23">
        <f>85143</f>
        <v>85143</v>
      </c>
      <c r="D14" s="23">
        <v>85931</v>
      </c>
      <c r="E14" s="23">
        <v>86952</v>
      </c>
      <c r="F14" s="23">
        <v>86964</v>
      </c>
      <c r="G14" s="24">
        <v>88671</v>
      </c>
    </row>
    <row r="15" spans="1:12" ht="15.75" thickBot="1" x14ac:dyDescent="0.3">
      <c r="A15" s="114"/>
      <c r="B15" s="16" t="s">
        <v>8</v>
      </c>
      <c r="C15" s="17"/>
      <c r="D15" s="17"/>
      <c r="E15" s="17"/>
      <c r="F15" s="17"/>
      <c r="G15" s="18"/>
    </row>
    <row r="16" spans="1:12" x14ac:dyDescent="0.25">
      <c r="A16" s="111" t="s">
        <v>62</v>
      </c>
      <c r="B16" s="19" t="s">
        <v>5</v>
      </c>
      <c r="C16" s="20" t="s">
        <v>6</v>
      </c>
      <c r="D16" s="21" t="s">
        <v>6</v>
      </c>
      <c r="E16" s="21" t="s">
        <v>6</v>
      </c>
      <c r="F16" s="21" t="s">
        <v>6</v>
      </c>
      <c r="G16" s="22" t="s">
        <v>6</v>
      </c>
    </row>
    <row r="17" spans="1:7" x14ac:dyDescent="0.25">
      <c r="A17" s="112"/>
      <c r="B17" s="13" t="s">
        <v>7</v>
      </c>
      <c r="C17" s="14">
        <f>0.94197</f>
        <v>0.94196999999999997</v>
      </c>
      <c r="D17" s="14">
        <f>0.98292</f>
        <v>0.98292000000000002</v>
      </c>
      <c r="E17" s="14">
        <f>1.10225</f>
        <v>1.10225</v>
      </c>
      <c r="F17" s="14">
        <f>1</f>
        <v>1</v>
      </c>
      <c r="G17" s="15">
        <f>1.06986</f>
        <v>1.06986</v>
      </c>
    </row>
    <row r="18" spans="1:7" ht="15.75" thickBot="1" x14ac:dyDescent="0.3">
      <c r="A18" s="113"/>
      <c r="B18" s="16" t="s">
        <v>8</v>
      </c>
      <c r="C18" s="17"/>
      <c r="D18" s="17"/>
      <c r="E18" s="17"/>
      <c r="F18" s="17"/>
      <c r="G18" s="18"/>
    </row>
    <row r="19" spans="1:7" ht="15.75" thickBot="1" x14ac:dyDescent="0.3">
      <c r="A19" s="109" t="s">
        <v>11</v>
      </c>
      <c r="B19" s="110"/>
      <c r="C19" s="25">
        <v>10917365.5174355</v>
      </c>
      <c r="D19" s="26">
        <v>11497406.030767813</v>
      </c>
      <c r="E19" s="26">
        <v>13046424.765850199</v>
      </c>
      <c r="F19" s="26">
        <v>11837809.2684</v>
      </c>
      <c r="G19" s="27">
        <v>12913393.574110987</v>
      </c>
    </row>
    <row r="20" spans="1:7" x14ac:dyDescent="0.25">
      <c r="A20" s="111" t="s">
        <v>12</v>
      </c>
      <c r="B20" s="19" t="s">
        <v>5</v>
      </c>
      <c r="C20" s="20" t="s">
        <v>6</v>
      </c>
      <c r="D20" s="21" t="s">
        <v>6</v>
      </c>
      <c r="E20" s="21" t="s">
        <v>6</v>
      </c>
      <c r="F20" s="21" t="s">
        <v>6</v>
      </c>
      <c r="G20" s="22" t="s">
        <v>6</v>
      </c>
    </row>
    <row r="21" spans="1:7" x14ac:dyDescent="0.25">
      <c r="A21" s="112"/>
      <c r="B21" s="13" t="s">
        <v>7</v>
      </c>
      <c r="C21" s="14">
        <f>0.72164</f>
        <v>0.72163999999999995</v>
      </c>
      <c r="D21" s="14">
        <f t="shared" ref="D21:G21" si="1">0.72164</f>
        <v>0.72163999999999995</v>
      </c>
      <c r="E21" s="14">
        <f t="shared" si="1"/>
        <v>0.72163999999999995</v>
      </c>
      <c r="F21" s="14">
        <f t="shared" si="1"/>
        <v>0.72163999999999995</v>
      </c>
      <c r="G21" s="14">
        <f t="shared" si="1"/>
        <v>0.72163999999999995</v>
      </c>
    </row>
    <row r="22" spans="1:7" ht="15.75" thickBot="1" x14ac:dyDescent="0.3">
      <c r="A22" s="113"/>
      <c r="B22" s="16" t="s">
        <v>8</v>
      </c>
      <c r="C22" s="17"/>
      <c r="D22" s="17"/>
      <c r="E22" s="17"/>
      <c r="F22" s="17"/>
      <c r="G22" s="18"/>
    </row>
    <row r="23" spans="1:7" ht="15.75" thickBot="1" x14ac:dyDescent="0.3">
      <c r="A23" s="109" t="s">
        <v>13</v>
      </c>
      <c r="B23" s="110"/>
      <c r="C23" s="25">
        <v>7878407.6520021539</v>
      </c>
      <c r="D23" s="26">
        <v>8296988.0880432846</v>
      </c>
      <c r="E23" s="26">
        <v>9414821.9680281375</v>
      </c>
      <c r="F23" s="26">
        <v>8542636.6804481763</v>
      </c>
      <c r="G23" s="27">
        <v>9318821.3388214521</v>
      </c>
    </row>
    <row r="24" spans="1:7" x14ac:dyDescent="0.25">
      <c r="A24" s="111" t="s">
        <v>14</v>
      </c>
      <c r="B24" s="19" t="s">
        <v>5</v>
      </c>
      <c r="C24" s="20" t="s">
        <v>6</v>
      </c>
      <c r="D24" s="21" t="s">
        <v>6</v>
      </c>
      <c r="E24" s="21" t="s">
        <v>6</v>
      </c>
      <c r="F24" s="21" t="s">
        <v>6</v>
      </c>
      <c r="G24" s="22" t="s">
        <v>6</v>
      </c>
    </row>
    <row r="25" spans="1:7" x14ac:dyDescent="0.25">
      <c r="A25" s="112"/>
      <c r="B25" s="13" t="s">
        <v>7</v>
      </c>
      <c r="C25" s="14">
        <f>18.34545</f>
        <v>18.34545</v>
      </c>
      <c r="D25" s="14">
        <f t="shared" ref="D25:G25" si="2">18.34545</f>
        <v>18.34545</v>
      </c>
      <c r="E25" s="14">
        <f t="shared" si="2"/>
        <v>18.34545</v>
      </c>
      <c r="F25" s="14">
        <f t="shared" si="2"/>
        <v>18.34545</v>
      </c>
      <c r="G25" s="14">
        <f t="shared" si="2"/>
        <v>18.34545</v>
      </c>
    </row>
    <row r="26" spans="1:7" ht="15.75" thickBot="1" x14ac:dyDescent="0.3">
      <c r="A26" s="114"/>
      <c r="B26" s="16" t="s">
        <v>8</v>
      </c>
      <c r="C26" s="28"/>
      <c r="D26" s="29"/>
      <c r="E26" s="29"/>
      <c r="F26" s="29"/>
      <c r="G26" s="30"/>
    </row>
    <row r="27" spans="1:7" ht="15.75" thickBot="1" x14ac:dyDescent="0.3">
      <c r="A27" s="109" t="s">
        <v>15</v>
      </c>
      <c r="B27" s="110"/>
      <c r="C27" s="31">
        <v>3338066.387197285</v>
      </c>
      <c r="D27" s="32">
        <v>3515418.1244524899</v>
      </c>
      <c r="E27" s="32">
        <v>3989042.2203444424</v>
      </c>
      <c r="F27" s="32">
        <v>3619498.9673828133</v>
      </c>
      <c r="G27" s="33">
        <v>3948366.9357362404</v>
      </c>
    </row>
    <row r="28" spans="1:7" x14ac:dyDescent="0.25">
      <c r="A28" s="98" t="s">
        <v>16</v>
      </c>
      <c r="B28" s="99"/>
      <c r="C28" s="34">
        <v>3</v>
      </c>
      <c r="D28" s="35">
        <v>3</v>
      </c>
      <c r="E28" s="35">
        <v>5</v>
      </c>
      <c r="F28" s="35">
        <v>7</v>
      </c>
      <c r="G28" s="36">
        <v>2</v>
      </c>
    </row>
    <row r="29" spans="1:7" ht="15.75" thickBot="1" x14ac:dyDescent="0.3">
      <c r="A29" s="100" t="s">
        <v>17</v>
      </c>
      <c r="B29" s="101"/>
      <c r="C29" s="37">
        <v>0.89872388742959275</v>
      </c>
      <c r="D29" s="38">
        <v>0.85338355034715419</v>
      </c>
      <c r="E29" s="38">
        <v>1.2534337126089041</v>
      </c>
      <c r="F29" s="38">
        <v>1.933969331965733</v>
      </c>
      <c r="G29" s="39">
        <v>0.50653853417174</v>
      </c>
    </row>
    <row r="30" spans="1:7" ht="15.75" thickTop="1" x14ac:dyDescent="0.25"/>
    <row r="31" spans="1:7" ht="15.75" thickBot="1" x14ac:dyDescent="0.3"/>
    <row r="32" spans="1:7" ht="15.75" thickTop="1" x14ac:dyDescent="0.25">
      <c r="A32" s="102"/>
      <c r="B32" s="103"/>
      <c r="C32" s="85" t="s">
        <v>18</v>
      </c>
      <c r="D32" s="86"/>
      <c r="E32" s="86"/>
      <c r="F32" s="86"/>
      <c r="G32" s="87"/>
    </row>
    <row r="33" spans="1:7" ht="15.75" thickBot="1" x14ac:dyDescent="0.3">
      <c r="A33" s="104"/>
      <c r="B33" s="105"/>
      <c r="C33" s="40">
        <v>2013</v>
      </c>
      <c r="D33" s="41">
        <v>2014</v>
      </c>
      <c r="E33" s="41">
        <v>2015</v>
      </c>
      <c r="F33" s="41">
        <v>2016</v>
      </c>
      <c r="G33" s="42">
        <v>2017</v>
      </c>
    </row>
    <row r="34" spans="1:7" ht="15.75" thickTop="1" x14ac:dyDescent="0.25">
      <c r="A34" s="88" t="s">
        <v>4</v>
      </c>
      <c r="B34" s="43" t="s">
        <v>5</v>
      </c>
      <c r="C34" s="10" t="s">
        <v>6</v>
      </c>
      <c r="D34" s="11" t="s">
        <v>6</v>
      </c>
      <c r="E34" s="11" t="s">
        <v>6</v>
      </c>
      <c r="F34" s="11" t="s">
        <v>6</v>
      </c>
      <c r="G34" s="12" t="s">
        <v>6</v>
      </c>
    </row>
    <row r="35" spans="1:7" x14ac:dyDescent="0.25">
      <c r="A35" s="89"/>
      <c r="B35" s="44" t="s">
        <v>7</v>
      </c>
      <c r="C35" s="14">
        <f>0.03757</f>
        <v>3.7569999999999999E-2</v>
      </c>
      <c r="D35" s="14">
        <f t="shared" ref="D35:G35" si="3">0.03757</f>
        <v>3.7569999999999999E-2</v>
      </c>
      <c r="E35" s="14">
        <f t="shared" si="3"/>
        <v>3.7569999999999999E-2</v>
      </c>
      <c r="F35" s="14">
        <f t="shared" si="3"/>
        <v>3.7569999999999999E-2</v>
      </c>
      <c r="G35" s="14">
        <f t="shared" si="3"/>
        <v>3.7569999999999999E-2</v>
      </c>
    </row>
    <row r="36" spans="1:7" ht="15.75" thickBot="1" x14ac:dyDescent="0.3">
      <c r="A36" s="90"/>
      <c r="B36" s="45" t="s">
        <v>8</v>
      </c>
      <c r="C36" s="28"/>
      <c r="D36" s="29"/>
      <c r="E36" s="29"/>
      <c r="F36" s="29"/>
      <c r="G36" s="30"/>
    </row>
    <row r="37" spans="1:7" x14ac:dyDescent="0.25">
      <c r="A37" s="94" t="s">
        <v>61</v>
      </c>
      <c r="B37" s="46" t="s">
        <v>5</v>
      </c>
      <c r="C37" s="20" t="s">
        <v>6</v>
      </c>
      <c r="D37" s="21" t="s">
        <v>6</v>
      </c>
      <c r="E37" s="21" t="s">
        <v>6</v>
      </c>
      <c r="F37" s="21" t="s">
        <v>6</v>
      </c>
      <c r="G37" s="22" t="s">
        <v>6</v>
      </c>
    </row>
    <row r="38" spans="1:7" x14ac:dyDescent="0.25">
      <c r="A38" s="89"/>
      <c r="B38" s="44" t="s">
        <v>7</v>
      </c>
      <c r="C38" s="23">
        <v>85143</v>
      </c>
      <c r="D38" s="23">
        <v>85931</v>
      </c>
      <c r="E38" s="23">
        <v>86952</v>
      </c>
      <c r="F38" s="23">
        <v>86964</v>
      </c>
      <c r="G38" s="24">
        <v>88671</v>
      </c>
    </row>
    <row r="39" spans="1:7" ht="15.75" thickBot="1" x14ac:dyDescent="0.3">
      <c r="A39" s="90"/>
      <c r="B39" s="45" t="s">
        <v>8</v>
      </c>
      <c r="C39" s="28"/>
      <c r="D39" s="29"/>
      <c r="E39" s="29"/>
      <c r="F39" s="29"/>
      <c r="G39" s="30"/>
    </row>
    <row r="40" spans="1:7" x14ac:dyDescent="0.25">
      <c r="A40" s="94" t="s">
        <v>63</v>
      </c>
      <c r="B40" s="46" t="s">
        <v>5</v>
      </c>
      <c r="C40" s="20" t="s">
        <v>6</v>
      </c>
      <c r="D40" s="21" t="s">
        <v>6</v>
      </c>
      <c r="E40" s="21" t="s">
        <v>6</v>
      </c>
      <c r="F40" s="21" t="s">
        <v>6</v>
      </c>
      <c r="G40" s="22" t="s">
        <v>6</v>
      </c>
    </row>
    <row r="41" spans="1:7" x14ac:dyDescent="0.25">
      <c r="A41" s="89"/>
      <c r="B41" s="44" t="s">
        <v>7</v>
      </c>
      <c r="C41" s="14">
        <f>0.7956</f>
        <v>0.79559999999999997</v>
      </c>
      <c r="D41" s="14">
        <f>0.91893</f>
        <v>0.91893000000000002</v>
      </c>
      <c r="E41" s="14">
        <f>0.96718</f>
        <v>0.96718000000000004</v>
      </c>
      <c r="F41" s="14">
        <f>1</f>
        <v>1</v>
      </c>
      <c r="G41" s="15">
        <f>1.2283</f>
        <v>1.2282999999999999</v>
      </c>
    </row>
    <row r="42" spans="1:7" ht="15.75" thickBot="1" x14ac:dyDescent="0.3">
      <c r="A42" s="95"/>
      <c r="B42" s="45" t="s">
        <v>8</v>
      </c>
      <c r="C42" s="28"/>
      <c r="D42" s="29"/>
      <c r="E42" s="29"/>
      <c r="F42" s="29"/>
      <c r="G42" s="30"/>
    </row>
    <row r="43" spans="1:7" ht="15.75" thickBot="1" x14ac:dyDescent="0.3">
      <c r="A43" s="96" t="s">
        <v>19</v>
      </c>
      <c r="B43" s="97"/>
      <c r="C43" s="31">
        <v>928918.86396893999</v>
      </c>
      <c r="D43" s="32">
        <v>1082845.1491594815</v>
      </c>
      <c r="E43" s="32">
        <v>1153243.3064034479</v>
      </c>
      <c r="F43" s="32">
        <v>1192541.6801999998</v>
      </c>
      <c r="G43" s="33">
        <v>1493551.2088003652</v>
      </c>
    </row>
    <row r="44" spans="1:7" x14ac:dyDescent="0.25">
      <c r="A44" s="94" t="s">
        <v>12</v>
      </c>
      <c r="B44" s="46" t="s">
        <v>5</v>
      </c>
      <c r="C44" s="20" t="s">
        <v>6</v>
      </c>
      <c r="D44" s="21" t="s">
        <v>6</v>
      </c>
      <c r="E44" s="21" t="s">
        <v>6</v>
      </c>
      <c r="F44" s="21" t="s">
        <v>6</v>
      </c>
      <c r="G44" s="22" t="s">
        <v>6</v>
      </c>
    </row>
    <row r="45" spans="1:7" x14ac:dyDescent="0.25">
      <c r="A45" s="89"/>
      <c r="B45" s="44" t="s">
        <v>7</v>
      </c>
      <c r="C45" s="14">
        <f>2.7105</f>
        <v>2.7105000000000001</v>
      </c>
      <c r="D45" s="14">
        <f t="shared" ref="D45:G45" si="4">2.7105</f>
        <v>2.7105000000000001</v>
      </c>
      <c r="E45" s="14">
        <f t="shared" si="4"/>
        <v>2.7105000000000001</v>
      </c>
      <c r="F45" s="14">
        <f t="shared" si="4"/>
        <v>2.7105000000000001</v>
      </c>
      <c r="G45" s="14">
        <f t="shared" si="4"/>
        <v>2.7105000000000001</v>
      </c>
    </row>
    <row r="46" spans="1:7" ht="15.75" thickBot="1" x14ac:dyDescent="0.3">
      <c r="A46" s="95"/>
      <c r="B46" s="45" t="s">
        <v>8</v>
      </c>
      <c r="C46" s="28"/>
      <c r="D46" s="29"/>
      <c r="E46" s="29"/>
      <c r="F46" s="29"/>
      <c r="G46" s="30"/>
    </row>
    <row r="47" spans="1:7" ht="15.75" thickBot="1" x14ac:dyDescent="0.3">
      <c r="A47" s="96" t="s">
        <v>20</v>
      </c>
      <c r="B47" s="97"/>
      <c r="C47" s="31">
        <v>2517834.5807878119</v>
      </c>
      <c r="D47" s="32">
        <v>2935051.7767967749</v>
      </c>
      <c r="E47" s="32">
        <v>3125865.9820065456</v>
      </c>
      <c r="F47" s="32">
        <v>3232384.2241820996</v>
      </c>
      <c r="G47" s="33">
        <v>4048270.5514533902</v>
      </c>
    </row>
    <row r="48" spans="1:7" x14ac:dyDescent="0.25">
      <c r="A48" s="94" t="s">
        <v>14</v>
      </c>
      <c r="B48" s="46" t="s">
        <v>5</v>
      </c>
      <c r="C48" s="20" t="s">
        <v>6</v>
      </c>
      <c r="D48" s="21" t="s">
        <v>6</v>
      </c>
      <c r="E48" s="21" t="s">
        <v>6</v>
      </c>
      <c r="F48" s="21" t="s">
        <v>6</v>
      </c>
      <c r="G48" s="22" t="s">
        <v>6</v>
      </c>
    </row>
    <row r="49" spans="1:7" x14ac:dyDescent="0.25">
      <c r="A49" s="89"/>
      <c r="B49" s="44" t="s">
        <v>7</v>
      </c>
      <c r="C49" s="14">
        <f>22.26913</f>
        <v>22.269130000000001</v>
      </c>
      <c r="D49" s="14">
        <f t="shared" ref="D49:G49" si="5">22.26913</f>
        <v>22.269130000000001</v>
      </c>
      <c r="E49" s="14">
        <f t="shared" si="5"/>
        <v>22.269130000000001</v>
      </c>
      <c r="F49" s="14">
        <f t="shared" si="5"/>
        <v>22.269130000000001</v>
      </c>
      <c r="G49" s="14">
        <f t="shared" si="5"/>
        <v>22.269130000000001</v>
      </c>
    </row>
    <row r="50" spans="1:7" ht="15.75" thickBot="1" x14ac:dyDescent="0.3">
      <c r="A50" s="90"/>
      <c r="B50" s="45" t="s">
        <v>8</v>
      </c>
      <c r="C50" s="28"/>
      <c r="D50" s="29"/>
      <c r="E50" s="29"/>
      <c r="F50" s="29"/>
      <c r="G50" s="30"/>
    </row>
    <row r="51" spans="1:7" ht="15.75" thickBot="1" x14ac:dyDescent="0.3">
      <c r="A51" s="96" t="s">
        <v>21</v>
      </c>
      <c r="B51" s="97"/>
      <c r="C51" s="31">
        <v>344770.2490196107</v>
      </c>
      <c r="D51" s="32">
        <v>401900.32327503141</v>
      </c>
      <c r="E51" s="32">
        <v>428028.7518654702</v>
      </c>
      <c r="F51" s="32">
        <v>442614.42844653706</v>
      </c>
      <c r="G51" s="33">
        <v>554334.76717387466</v>
      </c>
    </row>
    <row r="52" spans="1:7" x14ac:dyDescent="0.25">
      <c r="A52" s="77" t="s">
        <v>16</v>
      </c>
      <c r="B52" s="78"/>
      <c r="C52" s="34">
        <v>0</v>
      </c>
      <c r="D52" s="35">
        <v>1</v>
      </c>
      <c r="E52" s="35">
        <v>1</v>
      </c>
      <c r="F52" s="35">
        <v>2</v>
      </c>
      <c r="G52" s="36">
        <v>1</v>
      </c>
    </row>
    <row r="53" spans="1:7" ht="15.75" thickBot="1" x14ac:dyDescent="0.3">
      <c r="A53" s="79" t="s">
        <v>17</v>
      </c>
      <c r="B53" s="80"/>
      <c r="C53" s="37">
        <v>0</v>
      </c>
      <c r="D53" s="38">
        <v>2.488179138178181</v>
      </c>
      <c r="E53" s="38">
        <v>2.3362916524689465</v>
      </c>
      <c r="F53" s="38">
        <v>4.5186055208807501</v>
      </c>
      <c r="G53" s="39">
        <v>1.8039640650688908</v>
      </c>
    </row>
    <row r="54" spans="1:7" ht="15.75" thickTop="1" x14ac:dyDescent="0.25"/>
    <row r="55" spans="1:7" ht="15.75" thickBot="1" x14ac:dyDescent="0.3"/>
    <row r="56" spans="1:7" ht="15.75" thickTop="1" x14ac:dyDescent="0.25">
      <c r="A56" s="81"/>
      <c r="B56" s="82"/>
      <c r="C56" s="85" t="s">
        <v>22</v>
      </c>
      <c r="D56" s="86"/>
      <c r="E56" s="86"/>
      <c r="F56" s="86"/>
      <c r="G56" s="87"/>
    </row>
    <row r="57" spans="1:7" ht="15.75" thickBot="1" x14ac:dyDescent="0.3">
      <c r="A57" s="83"/>
      <c r="B57" s="84"/>
      <c r="C57" s="6">
        <v>2013</v>
      </c>
      <c r="D57" s="7">
        <v>2014</v>
      </c>
      <c r="E57" s="7">
        <v>2015</v>
      </c>
      <c r="F57" s="7">
        <v>2016</v>
      </c>
      <c r="G57" s="8">
        <v>2017</v>
      </c>
    </row>
    <row r="58" spans="1:7" x14ac:dyDescent="0.25">
      <c r="A58" s="91" t="s">
        <v>23</v>
      </c>
      <c r="B58" s="92"/>
      <c r="C58" s="47">
        <v>11846284.381404441</v>
      </c>
      <c r="D58" s="48">
        <v>12580251.179927295</v>
      </c>
      <c r="E58" s="48">
        <v>14199668.072253648</v>
      </c>
      <c r="F58" s="48">
        <v>13030350.9486</v>
      </c>
      <c r="G58" s="49">
        <v>14406944.782911353</v>
      </c>
    </row>
    <row r="59" spans="1:7" x14ac:dyDescent="0.25">
      <c r="A59" s="93" t="s">
        <v>24</v>
      </c>
      <c r="B59" s="74"/>
      <c r="C59" s="50">
        <v>10396242.232789965</v>
      </c>
      <c r="D59" s="51">
        <v>11232039.86484006</v>
      </c>
      <c r="E59" s="51">
        <v>12540687.950034684</v>
      </c>
      <c r="F59" s="51">
        <v>11775020.904630275</v>
      </c>
      <c r="G59" s="52">
        <v>13367091.890274841</v>
      </c>
    </row>
    <row r="60" spans="1:7" x14ac:dyDescent="0.25">
      <c r="A60" s="73" t="s">
        <v>25</v>
      </c>
      <c r="B60" s="74"/>
      <c r="C60" s="50">
        <v>3682836.6362168957</v>
      </c>
      <c r="D60" s="51">
        <v>3917318.4477275214</v>
      </c>
      <c r="E60" s="51">
        <v>4417070.9722099127</v>
      </c>
      <c r="F60" s="51">
        <v>4062113.3958293502</v>
      </c>
      <c r="G60" s="52">
        <v>4502701.702910115</v>
      </c>
    </row>
    <row r="61" spans="1:7" x14ac:dyDescent="0.25">
      <c r="A61" s="73" t="s">
        <v>26</v>
      </c>
      <c r="B61" s="74"/>
      <c r="C61" s="53">
        <v>3</v>
      </c>
      <c r="D61" s="54">
        <v>4</v>
      </c>
      <c r="E61" s="54">
        <v>6</v>
      </c>
      <c r="F61" s="54">
        <v>9</v>
      </c>
      <c r="G61" s="55">
        <v>3</v>
      </c>
    </row>
    <row r="62" spans="1:7" ht="15.75" thickBot="1" x14ac:dyDescent="0.3">
      <c r="A62" s="75" t="s">
        <v>27</v>
      </c>
      <c r="B62" s="76"/>
      <c r="C62" s="37">
        <v>0.81458948531631781</v>
      </c>
      <c r="D62" s="38">
        <v>1.0211066711516503</v>
      </c>
      <c r="E62" s="38">
        <v>1.358366220001697</v>
      </c>
      <c r="F62" s="38">
        <v>2.2155954605404355</v>
      </c>
      <c r="G62" s="39">
        <v>0.66626665454233558</v>
      </c>
    </row>
    <row r="63" spans="1:7" ht="15.75" thickTop="1" x14ac:dyDescent="0.25"/>
  </sheetData>
  <mergeCells count="33">
    <mergeCell ref="A10:A12"/>
    <mergeCell ref="B3:D3"/>
    <mergeCell ref="B4:D4"/>
    <mergeCell ref="A8:B9"/>
    <mergeCell ref="C8:G8"/>
    <mergeCell ref="A24:A26"/>
    <mergeCell ref="A27:B27"/>
    <mergeCell ref="A28:B28"/>
    <mergeCell ref="A29:B29"/>
    <mergeCell ref="A32:B33"/>
    <mergeCell ref="A13:A15"/>
    <mergeCell ref="A16:A18"/>
    <mergeCell ref="A19:B19"/>
    <mergeCell ref="A20:A22"/>
    <mergeCell ref="A23:B23"/>
    <mergeCell ref="C32:G32"/>
    <mergeCell ref="C56:G56"/>
    <mergeCell ref="A58:B58"/>
    <mergeCell ref="A37:A39"/>
    <mergeCell ref="A40:A42"/>
    <mergeCell ref="A43:B43"/>
    <mergeCell ref="A44:A46"/>
    <mergeCell ref="A47:B47"/>
    <mergeCell ref="A48:A50"/>
    <mergeCell ref="A34:A36"/>
    <mergeCell ref="A59:B59"/>
    <mergeCell ref="A60:B60"/>
    <mergeCell ref="A61:B61"/>
    <mergeCell ref="A62:B62"/>
    <mergeCell ref="A51:B51"/>
    <mergeCell ref="A52:B52"/>
    <mergeCell ref="A53:B53"/>
    <mergeCell ref="A56:B57"/>
  </mergeCells>
  <conditionalFormatting sqref="C14:G14 C17:G17 C38:G38 C41:G41 C11:G11 C21:G21 C25:G25 C35:G35 C45:G45 C49:G49">
    <cfRule type="expression" dxfId="10" priority="11">
      <formula>C10="Default"</formula>
    </cfRule>
  </conditionalFormatting>
  <conditionalFormatting sqref="C12:G12 C15:G15 C18:G18 C22:G22 C26:G26 C36:G36 C39:G39 C42:G42 C46:G46">
    <cfRule type="expression" dxfId="9" priority="10">
      <formula>C10="User Input"</formula>
    </cfRule>
  </conditionalFormatting>
  <conditionalFormatting sqref="C12:G12 C15:G15 C18:G18 C22:G22 C26:G26 C36:G36 C39:G39 C42:G42 C46:G46">
    <cfRule type="expression" dxfId="8" priority="9">
      <formula>AND(C10="User Input",OR(ISBLANK(C12)=TRUE,ISTEXT(C12)=TRUE,C12&lt;0))</formula>
    </cfRule>
  </conditionalFormatting>
  <conditionalFormatting sqref="C50:G50">
    <cfRule type="expression" dxfId="7" priority="7">
      <formula>AND(C48="User Input",OR(ISBLANK(C50)=TRUE,ISTEXT(C50)=TRUE,C50&lt;0))</formula>
    </cfRule>
    <cfRule type="expression" dxfId="6" priority="8">
      <formula>C48="User Input"</formula>
    </cfRule>
  </conditionalFormatting>
  <conditionalFormatting sqref="C19:G19 C43:G43">
    <cfRule type="expression" dxfId="5" priority="4">
      <formula>AND(C16="User Input",OR(ISBLANK(C18)=TRUE,ISTEXT(C18)=TRUE,C18&lt;0))</formula>
    </cfRule>
    <cfRule type="expression" dxfId="4" priority="5">
      <formula>AND(C13="User Input",OR(ISBLANK(C15)=TRUE,ISTEXT(C15)=TRUE,C15&lt;0))</formula>
    </cfRule>
    <cfRule type="expression" dxfId="3" priority="6">
      <formula>AND(C10="User Input",OR(ISBLANK(C12)=TRUE,ISTEXT(C12)=TRUE,C12&lt;0))</formula>
    </cfRule>
  </conditionalFormatting>
  <conditionalFormatting sqref="C23:G23 C27:G27 C47:G47 C51:G51">
    <cfRule type="expression" dxfId="2" priority="3">
      <formula>AND(C20="User Input",OR(ISBLANK(C22)=TRUE,ISTEXT(C22)=TRUE,C22&lt;0))</formula>
    </cfRule>
  </conditionalFormatting>
  <conditionalFormatting sqref="C42">
    <cfRule type="expression" dxfId="1" priority="2">
      <formula>AND(C40="User Input",OR(ISBLANK(C42)=TRUE,ISTEXT(C42)=TRUE,C42&lt;0))</formula>
    </cfRule>
  </conditionalFormatting>
  <conditionalFormatting sqref="C53:G53 C29:G29">
    <cfRule type="expression" dxfId="0" priority="1">
      <formula>ISERROR(C29)</formula>
    </cfRule>
  </conditionalFormatting>
  <dataValidations count="2">
    <dataValidation type="list" allowBlank="1" showInputMessage="1" showErrorMessage="1" sqref="C48:G48 C40:G40 C37:G37 C34:G34 C44:G44 C24:G24 C16:G16 C13:G13 C10:G10 C20:G20">
      <formula1>"Default,User Input"</formula1>
    </dataValidation>
    <dataValidation type="list" allowBlank="1" showInputMessage="1" showErrorMessage="1" sqref="B3">
      <formula1>States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INDIRECT(VLOOKUP(B3,'D:\Windows\LTRC Phase 2\Assorted Data and Work\[areawide-non-motorized_exposure_toolv3.xlsm]MPO Lookup List'!#REF!,2,FALSE))</xm:f>
          </x14:formula1>
          <xm:sqref>B4:D4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4" sqref="A4:B4"/>
    </sheetView>
  </sheetViews>
  <sheetFormatPr defaultRowHeight="15" x14ac:dyDescent="0.25"/>
  <cols>
    <col min="1" max="1" width="38.28515625" bestFit="1" customWidth="1"/>
    <col min="2" max="2" width="16.42578125" bestFit="1" customWidth="1"/>
    <col min="3" max="10" width="14.5703125" customWidth="1"/>
  </cols>
  <sheetData>
    <row r="1" spans="1:10" x14ac:dyDescent="0.25">
      <c r="A1" s="1" t="s">
        <v>28</v>
      </c>
      <c r="B1" s="1"/>
    </row>
    <row r="2" spans="1:10" x14ac:dyDescent="0.25">
      <c r="A2" s="127"/>
      <c r="B2" s="127"/>
      <c r="C2" s="68">
        <v>2013</v>
      </c>
      <c r="D2" s="68">
        <v>2014</v>
      </c>
      <c r="E2" s="68">
        <v>2015</v>
      </c>
      <c r="F2" s="68">
        <v>2016</v>
      </c>
      <c r="G2" s="68">
        <v>2017</v>
      </c>
      <c r="I2" s="3"/>
      <c r="J2" s="3"/>
    </row>
    <row r="3" spans="1:10" x14ac:dyDescent="0.25">
      <c r="A3" s="70" t="s">
        <v>29</v>
      </c>
      <c r="B3" s="67"/>
      <c r="C3" s="68"/>
      <c r="D3" s="68"/>
      <c r="E3" s="68"/>
      <c r="F3" s="68"/>
      <c r="G3" s="68"/>
      <c r="I3" s="3"/>
      <c r="J3" s="3"/>
    </row>
    <row r="4" spans="1:10" x14ac:dyDescent="0.25">
      <c r="A4" s="126" t="s">
        <v>11</v>
      </c>
      <c r="B4" s="127"/>
      <c r="C4" s="51">
        <v>420195672.33472782</v>
      </c>
      <c r="D4" s="51">
        <v>458213545.79582208</v>
      </c>
      <c r="E4" s="51">
        <v>513110750.02194428</v>
      </c>
      <c r="F4" s="51">
        <v>415051771.04174006</v>
      </c>
      <c r="G4" s="51">
        <v>422650635.73905206</v>
      </c>
    </row>
    <row r="5" spans="1:10" x14ac:dyDescent="0.25">
      <c r="A5" s="126" t="s">
        <v>13</v>
      </c>
      <c r="B5" s="127"/>
      <c r="C5" s="51">
        <v>403152026.79041111</v>
      </c>
      <c r="D5" s="51">
        <v>439627849.24460351</v>
      </c>
      <c r="E5" s="51">
        <v>492298356.35838932</v>
      </c>
      <c r="F5" s="51">
        <v>398216768.36579353</v>
      </c>
      <c r="G5" s="51">
        <v>405507413.90482479</v>
      </c>
    </row>
    <row r="6" spans="1:10" x14ac:dyDescent="0.25">
      <c r="A6" s="126" t="s">
        <v>15</v>
      </c>
      <c r="B6" s="127"/>
      <c r="C6" s="51">
        <v>102794842.47432053</v>
      </c>
      <c r="D6" s="51">
        <v>112095369.75468883</v>
      </c>
      <c r="E6" s="51">
        <v>125525183.13032374</v>
      </c>
      <c r="F6" s="51">
        <v>101536460.82517561</v>
      </c>
      <c r="G6" s="51">
        <v>103395414.04857202</v>
      </c>
    </row>
    <row r="7" spans="1:10" x14ac:dyDescent="0.25">
      <c r="A7" s="126" t="s">
        <v>30</v>
      </c>
      <c r="B7" s="127"/>
      <c r="C7" s="54">
        <v>97</v>
      </c>
      <c r="D7" s="54">
        <v>105</v>
      </c>
      <c r="E7" s="54">
        <v>106</v>
      </c>
      <c r="F7" s="54">
        <v>127</v>
      </c>
      <c r="G7" s="54">
        <v>115</v>
      </c>
    </row>
    <row r="8" spans="1:10" x14ac:dyDescent="0.25">
      <c r="A8" s="128" t="s">
        <v>31</v>
      </c>
      <c r="B8" s="127"/>
      <c r="C8" s="66">
        <v>0.94362710876503209</v>
      </c>
      <c r="D8" s="66">
        <v>0.93670238324547705</v>
      </c>
      <c r="E8" s="66">
        <v>0.84445206417223739</v>
      </c>
      <c r="F8" s="66">
        <v>1.2507822211635606</v>
      </c>
      <c r="G8" s="66">
        <v>1.1122350160131522</v>
      </c>
    </row>
    <row r="9" spans="1:10" x14ac:dyDescent="0.25">
      <c r="A9" s="70" t="s">
        <v>32</v>
      </c>
      <c r="B9" s="67"/>
      <c r="C9" s="71"/>
      <c r="D9" s="71"/>
      <c r="E9" s="71"/>
      <c r="F9" s="71"/>
      <c r="G9" s="71"/>
    </row>
    <row r="10" spans="1:10" x14ac:dyDescent="0.25">
      <c r="A10" s="122" t="s">
        <v>19</v>
      </c>
      <c r="B10" s="123"/>
      <c r="C10" s="51">
        <v>47363487.42570252</v>
      </c>
      <c r="D10" s="51">
        <v>40106941.189535491</v>
      </c>
      <c r="E10" s="51">
        <v>45823784.979756042</v>
      </c>
      <c r="F10" s="51">
        <v>40957121.393891044</v>
      </c>
      <c r="G10" s="51">
        <v>49508058.334519409</v>
      </c>
    </row>
    <row r="11" spans="1:10" x14ac:dyDescent="0.25">
      <c r="A11" s="122" t="s">
        <v>20</v>
      </c>
      <c r="B11" s="123"/>
      <c r="C11" s="51">
        <v>73856012.063413501</v>
      </c>
      <c r="D11" s="51">
        <v>62540553.775047801</v>
      </c>
      <c r="E11" s="51">
        <v>71455084.923065707</v>
      </c>
      <c r="F11" s="51">
        <v>63866277.931814276</v>
      </c>
      <c r="G11" s="51">
        <v>77200137.750122815</v>
      </c>
    </row>
    <row r="12" spans="1:10" x14ac:dyDescent="0.25">
      <c r="A12" s="122" t="s">
        <v>21</v>
      </c>
      <c r="B12" s="123"/>
      <c r="C12" s="51">
        <v>14477636.091830093</v>
      </c>
      <c r="D12" s="51">
        <v>12259521.645431569</v>
      </c>
      <c r="E12" s="51">
        <v>14006993.980919629</v>
      </c>
      <c r="F12" s="51">
        <v>12519396.926584493</v>
      </c>
      <c r="G12" s="51">
        <v>15133168.84244692</v>
      </c>
    </row>
    <row r="13" spans="1:10" x14ac:dyDescent="0.25">
      <c r="A13" s="122" t="s">
        <v>33</v>
      </c>
      <c r="B13" s="123"/>
      <c r="C13" s="54">
        <v>14</v>
      </c>
      <c r="D13" s="54">
        <v>13</v>
      </c>
      <c r="E13" s="54">
        <v>34</v>
      </c>
      <c r="F13" s="54">
        <v>22</v>
      </c>
      <c r="G13" s="54">
        <v>23</v>
      </c>
    </row>
    <row r="14" spans="1:10" x14ac:dyDescent="0.25">
      <c r="A14" s="124" t="s">
        <v>34</v>
      </c>
      <c r="B14" s="123"/>
      <c r="C14" s="66">
        <v>0.96700869611582307</v>
      </c>
      <c r="D14" s="66">
        <v>1.060400264870397</v>
      </c>
      <c r="E14" s="66">
        <v>2.4273587927798714</v>
      </c>
      <c r="F14" s="66">
        <v>1.7572731441467269</v>
      </c>
      <c r="G14" s="66">
        <v>1.5198403083620835</v>
      </c>
    </row>
    <row r="15" spans="1:10" x14ac:dyDescent="0.25">
      <c r="A15" s="72" t="s">
        <v>35</v>
      </c>
      <c r="B15" s="69"/>
      <c r="C15" s="71"/>
      <c r="D15" s="71"/>
      <c r="E15" s="71"/>
      <c r="F15" s="71"/>
      <c r="G15" s="71"/>
    </row>
    <row r="16" spans="1:10" x14ac:dyDescent="0.25">
      <c r="A16" s="121" t="s">
        <v>23</v>
      </c>
      <c r="B16" s="125"/>
      <c r="C16" s="51">
        <v>467559159.76043034</v>
      </c>
      <c r="D16" s="51">
        <v>498320486.98535758</v>
      </c>
      <c r="E16" s="51">
        <v>558934535.00170028</v>
      </c>
      <c r="F16" s="51">
        <v>456008892.4356311</v>
      </c>
      <c r="G16" s="51">
        <v>472158694.07357144</v>
      </c>
    </row>
    <row r="17" spans="1:7" x14ac:dyDescent="0.25">
      <c r="A17" s="121" t="s">
        <v>24</v>
      </c>
      <c r="B17" s="121"/>
      <c r="C17" s="51">
        <v>477008038.85382462</v>
      </c>
      <c r="D17" s="51">
        <v>502168403.01965129</v>
      </c>
      <c r="E17" s="51">
        <v>563753441.28145504</v>
      </c>
      <c r="F17" s="51">
        <v>462083046.29760778</v>
      </c>
      <c r="G17" s="51">
        <v>482707551.65494764</v>
      </c>
    </row>
    <row r="18" spans="1:7" x14ac:dyDescent="0.25">
      <c r="A18" s="121" t="s">
        <v>25</v>
      </c>
      <c r="B18" s="121"/>
      <c r="C18" s="51">
        <v>117272478.56615062</v>
      </c>
      <c r="D18" s="51">
        <v>124354891.40012039</v>
      </c>
      <c r="E18" s="51">
        <v>139532177.11124337</v>
      </c>
      <c r="F18" s="51">
        <v>114055857.75176011</v>
      </c>
      <c r="G18" s="51">
        <v>118528582.89101894</v>
      </c>
    </row>
    <row r="19" spans="1:7" x14ac:dyDescent="0.25">
      <c r="A19" s="121" t="s">
        <v>36</v>
      </c>
      <c r="B19" s="121"/>
      <c r="C19" s="54">
        <v>111</v>
      </c>
      <c r="D19" s="54">
        <v>118</v>
      </c>
      <c r="E19" s="54">
        <v>140</v>
      </c>
      <c r="F19" s="54">
        <v>149</v>
      </c>
      <c r="G19" s="54">
        <v>138</v>
      </c>
    </row>
    <row r="20" spans="1:7" x14ac:dyDescent="0.25">
      <c r="A20" s="121" t="s">
        <v>37</v>
      </c>
      <c r="B20" s="121"/>
      <c r="C20" s="66">
        <v>0.94651363522932219</v>
      </c>
      <c r="D20" s="66">
        <v>0.94889713361034511</v>
      </c>
      <c r="E20" s="66">
        <v>1.0033527957381734</v>
      </c>
      <c r="F20" s="66">
        <v>1.3063774446753535</v>
      </c>
      <c r="G20" s="66">
        <v>1.1642761318329777</v>
      </c>
    </row>
  </sheetData>
  <mergeCells count="16">
    <mergeCell ref="A4:B4"/>
    <mergeCell ref="A5:B5"/>
    <mergeCell ref="A6:B6"/>
    <mergeCell ref="A2:B2"/>
    <mergeCell ref="A10:B10"/>
    <mergeCell ref="A11:B11"/>
    <mergeCell ref="A12:B12"/>
    <mergeCell ref="A7:B7"/>
    <mergeCell ref="A8:B8"/>
    <mergeCell ref="A18:B18"/>
    <mergeCell ref="A19:B19"/>
    <mergeCell ref="A20:B20"/>
    <mergeCell ref="A13:B13"/>
    <mergeCell ref="A14:B14"/>
    <mergeCell ref="A16:B16"/>
    <mergeCell ref="A17:B17"/>
  </mergeCells>
  <conditionalFormatting sqref="C10:G10">
    <cfRule type="expression" dxfId="110" priority="5">
      <formula>AND(#REF!="User Input",OR(ISBLANK(#REF!)=TRUE,ISTEXT(#REF!)=TRUE,#REF!&lt;0))</formula>
    </cfRule>
    <cfRule type="expression" dxfId="109" priority="6">
      <formula>AND(#REF!="User Input",OR(ISBLANK(#REF!)=TRUE,ISTEXT(#REF!)=TRUE,#REF!&lt;0))</formula>
    </cfRule>
    <cfRule type="expression" dxfId="108" priority="7">
      <formula>AND(#REF!="User Input",OR(ISBLANK(#REF!)=TRUE,ISTEXT(#REF!)=TRUE,#REF!&lt;0))</formula>
    </cfRule>
  </conditionalFormatting>
  <conditionalFormatting sqref="C12:G12">
    <cfRule type="expression" dxfId="107" priority="4">
      <formula>AND(#REF!="User Input",OR(ISBLANK(#REF!)=TRUE,ISTEXT(#REF!)=TRUE,#REF!&lt;0))</formula>
    </cfRule>
  </conditionalFormatting>
  <conditionalFormatting sqref="C14:G15 C8:G9">
    <cfRule type="expression" dxfId="106" priority="2">
      <formula>ISERROR(C8)</formula>
    </cfRule>
  </conditionalFormatting>
  <conditionalFormatting sqref="C4:G4">
    <cfRule type="expression" dxfId="105" priority="13">
      <formula>AND(#REF!="User Input",OR(ISBLANK(#REF!)=TRUE,ISTEXT(#REF!)=TRUE,#REF!&lt;0))</formula>
    </cfRule>
    <cfRule type="expression" dxfId="104" priority="14">
      <formula>AND(#REF!="User Input",OR(ISBLANK(#REF!)=TRUE,ISTEXT(#REF!)=TRUE,#REF!&lt;0))</formula>
    </cfRule>
    <cfRule type="expression" dxfId="103" priority="15">
      <formula>AND(#REF!="User Input",OR(ISBLANK(#REF!)=TRUE,ISTEXT(#REF!)=TRUE,#REF!&lt;0))</formula>
    </cfRule>
  </conditionalFormatting>
  <conditionalFormatting sqref="C5:G6">
    <cfRule type="expression" dxfId="102" priority="16">
      <formula>AND(#REF!="User Input",OR(ISBLANK(#REF!)=TRUE,ISTEXT(#REF!)=TRUE,#REF!&lt;0))</formula>
    </cfRule>
  </conditionalFormatting>
  <conditionalFormatting sqref="C11:G11">
    <cfRule type="expression" dxfId="101" priority="1">
      <formula>AND(#REF!="User Input",OR(ISBLANK(#REF!)=TRUE,ISTEXT(#REF!)=TRUE,#REF!&lt;0))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C49" workbookViewId="0">
      <selection activeCell="V64" sqref="V64"/>
    </sheetView>
  </sheetViews>
  <sheetFormatPr defaultColWidth="9.28515625" defaultRowHeight="15" x14ac:dyDescent="0.25"/>
  <cols>
    <col min="1" max="1" width="29" customWidth="1"/>
    <col min="2" max="2" width="17.28515625" bestFit="1" customWidth="1"/>
    <col min="3" max="3" width="11.28515625" bestFit="1" customWidth="1"/>
    <col min="4" max="4" width="11.28515625" customWidth="1"/>
    <col min="5" max="5" width="13.7109375" customWidth="1"/>
    <col min="6" max="6" width="11.28515625" bestFit="1" customWidth="1"/>
  </cols>
  <sheetData>
    <row r="1" spans="1:6" x14ac:dyDescent="0.25">
      <c r="A1" s="1" t="s">
        <v>38</v>
      </c>
      <c r="B1" s="1" t="s">
        <v>39</v>
      </c>
    </row>
    <row r="2" spans="1:6" x14ac:dyDescent="0.25">
      <c r="A2" t="s">
        <v>40</v>
      </c>
      <c r="B2">
        <v>7</v>
      </c>
    </row>
    <row r="3" spans="1:6" x14ac:dyDescent="0.25">
      <c r="A3" t="s">
        <v>2</v>
      </c>
      <c r="B3">
        <v>7</v>
      </c>
    </row>
    <row r="4" spans="1:6" x14ac:dyDescent="0.25">
      <c r="A4" t="s">
        <v>41</v>
      </c>
      <c r="B4">
        <v>7</v>
      </c>
    </row>
    <row r="5" spans="1:6" x14ac:dyDescent="0.25">
      <c r="A5" t="s">
        <v>42</v>
      </c>
      <c r="B5">
        <v>7</v>
      </c>
    </row>
    <row r="9" spans="1:6" s="1" customFormat="1" x14ac:dyDescent="0.25">
      <c r="A9" s="1" t="s">
        <v>43</v>
      </c>
      <c r="B9" s="1" t="s">
        <v>38</v>
      </c>
      <c r="C9" s="1" t="s">
        <v>44</v>
      </c>
      <c r="D9" s="1" t="s">
        <v>45</v>
      </c>
      <c r="E9" s="1" t="s">
        <v>46</v>
      </c>
      <c r="F9" s="1" t="s">
        <v>47</v>
      </c>
    </row>
    <row r="10" spans="1:6" x14ac:dyDescent="0.25">
      <c r="A10" t="s">
        <v>48</v>
      </c>
      <c r="B10" t="s">
        <v>49</v>
      </c>
      <c r="C10" s="57">
        <v>2.6933554062526853E-3</v>
      </c>
      <c r="D10" s="57">
        <v>2.1620170746937447E-2</v>
      </c>
      <c r="E10">
        <v>2</v>
      </c>
      <c r="F10">
        <v>3</v>
      </c>
    </row>
    <row r="11" spans="1:6" x14ac:dyDescent="0.25">
      <c r="A11" t="s">
        <v>50</v>
      </c>
      <c r="B11" t="s">
        <v>49</v>
      </c>
      <c r="C11" s="57">
        <v>2.7704261024766776E-3</v>
      </c>
      <c r="D11" s="57">
        <v>1.5117171374757907E-2</v>
      </c>
      <c r="E11">
        <v>2</v>
      </c>
      <c r="F11">
        <v>2</v>
      </c>
    </row>
    <row r="12" spans="1:6" x14ac:dyDescent="0.25">
      <c r="A12" t="s">
        <v>51</v>
      </c>
      <c r="B12" t="s">
        <v>49</v>
      </c>
      <c r="C12" s="57">
        <v>4.2707517604954493E-3</v>
      </c>
      <c r="D12" s="57">
        <v>1.2760099659744364E-2</v>
      </c>
      <c r="E12">
        <v>3</v>
      </c>
      <c r="F12">
        <v>1</v>
      </c>
    </row>
    <row r="13" spans="1:6" x14ac:dyDescent="0.25">
      <c r="A13" t="s">
        <v>52</v>
      </c>
      <c r="B13" t="s">
        <v>49</v>
      </c>
      <c r="C13" s="57">
        <v>4.915974719828165E-3</v>
      </c>
      <c r="D13" s="57">
        <v>1.4285273188644374E-2</v>
      </c>
      <c r="E13">
        <v>3</v>
      </c>
      <c r="F13">
        <v>2</v>
      </c>
    </row>
    <row r="14" spans="1:6" x14ac:dyDescent="0.25">
      <c r="A14" t="s">
        <v>53</v>
      </c>
      <c r="B14" t="s">
        <v>49</v>
      </c>
      <c r="C14" s="57">
        <v>5.5670111365790989E-3</v>
      </c>
      <c r="D14" s="57">
        <v>1.871323640985529E-2</v>
      </c>
      <c r="E14">
        <v>3</v>
      </c>
      <c r="F14">
        <v>3</v>
      </c>
    </row>
    <row r="15" spans="1:6" x14ac:dyDescent="0.25">
      <c r="A15" t="s">
        <v>54</v>
      </c>
      <c r="B15" t="s">
        <v>49</v>
      </c>
      <c r="C15" s="57">
        <v>1.3097541498962363E-3</v>
      </c>
      <c r="D15" s="57">
        <v>1.3730982488521379E-2</v>
      </c>
      <c r="E15">
        <v>1</v>
      </c>
      <c r="F15">
        <v>2</v>
      </c>
    </row>
    <row r="16" spans="1:6" x14ac:dyDescent="0.25">
      <c r="A16" t="s">
        <v>55</v>
      </c>
      <c r="B16" t="s">
        <v>49</v>
      </c>
      <c r="C16" s="57">
        <v>1.732580640974937E-3</v>
      </c>
      <c r="D16" s="57">
        <v>1.0715707428665235E-2</v>
      </c>
      <c r="E16">
        <v>1</v>
      </c>
      <c r="F16">
        <v>1</v>
      </c>
    </row>
    <row r="17" spans="1:6" x14ac:dyDescent="0.25">
      <c r="A17" t="s">
        <v>56</v>
      </c>
      <c r="B17" t="s">
        <v>49</v>
      </c>
      <c r="C17" s="57">
        <v>1.3076136768156282E-2</v>
      </c>
      <c r="D17" s="57">
        <v>2.5609182047150587E-2</v>
      </c>
      <c r="E17">
        <v>5</v>
      </c>
      <c r="F17">
        <v>4</v>
      </c>
    </row>
    <row r="18" spans="1:6" x14ac:dyDescent="0.25">
      <c r="A18" t="s">
        <v>57</v>
      </c>
      <c r="B18" t="s">
        <v>49</v>
      </c>
      <c r="C18" s="57">
        <v>3.8991913319262094E-3</v>
      </c>
      <c r="D18" s="57">
        <v>1.8909832111078755E-2</v>
      </c>
      <c r="E18">
        <v>3</v>
      </c>
      <c r="F18">
        <v>3</v>
      </c>
    </row>
    <row r="24" spans="1:6" ht="15.75" thickBot="1" x14ac:dyDescent="0.3"/>
    <row r="25" spans="1:6" x14ac:dyDescent="0.25">
      <c r="A25" s="58" t="s">
        <v>23</v>
      </c>
      <c r="B25" s="58"/>
      <c r="C25" s="59"/>
    </row>
    <row r="26" spans="1:6" x14ac:dyDescent="0.25">
      <c r="B26" s="6">
        <v>2013</v>
      </c>
      <c r="C26" s="7">
        <v>2014</v>
      </c>
      <c r="D26" s="7">
        <v>2015</v>
      </c>
      <c r="E26" s="7">
        <v>2016</v>
      </c>
      <c r="F26" s="8">
        <v>2017</v>
      </c>
    </row>
    <row r="27" spans="1:6" x14ac:dyDescent="0.25">
      <c r="A27" t="s">
        <v>48</v>
      </c>
      <c r="B27" s="64">
        <v>16638054.825240601</v>
      </c>
      <c r="C27" s="64">
        <v>16010453.746815816</v>
      </c>
      <c r="D27" s="64">
        <v>17414308.200744253</v>
      </c>
      <c r="E27" s="64">
        <v>19079551.131054007</v>
      </c>
      <c r="F27" s="64">
        <v>16210819.226858638</v>
      </c>
    </row>
    <row r="28" spans="1:6" x14ac:dyDescent="0.25">
      <c r="A28" t="s">
        <v>50</v>
      </c>
      <c r="B28" s="65">
        <v>106533407.78984536</v>
      </c>
      <c r="C28" s="65">
        <v>103655150.82211773</v>
      </c>
      <c r="D28" s="65">
        <v>108110965.6000127</v>
      </c>
      <c r="E28" s="65">
        <v>95278340.38614586</v>
      </c>
      <c r="F28" s="65">
        <v>85910744.940077871</v>
      </c>
    </row>
    <row r="29" spans="1:6" x14ac:dyDescent="0.25">
      <c r="A29" t="s">
        <v>51</v>
      </c>
      <c r="B29" s="64">
        <v>12801119.168540232</v>
      </c>
      <c r="C29" s="64">
        <v>13254454.347273082</v>
      </c>
      <c r="D29" s="64">
        <v>12759282.138245275</v>
      </c>
      <c r="E29" s="64">
        <v>12256279.862629691</v>
      </c>
      <c r="F29" s="64">
        <v>14647883.50435235</v>
      </c>
    </row>
    <row r="30" spans="1:6" x14ac:dyDescent="0.25">
      <c r="A30" t="s">
        <v>52</v>
      </c>
      <c r="B30" s="64">
        <v>23465583.017019391</v>
      </c>
      <c r="C30" s="64">
        <v>20683009.420563586</v>
      </c>
      <c r="D30" s="64">
        <v>25048181.440258037</v>
      </c>
      <c r="E30" s="64">
        <v>24969895.679984886</v>
      </c>
      <c r="F30" s="64">
        <v>27150942.433774501</v>
      </c>
    </row>
    <row r="31" spans="1:6" x14ac:dyDescent="0.25">
      <c r="A31" t="s">
        <v>53</v>
      </c>
      <c r="B31" s="64">
        <v>38621244.717696734</v>
      </c>
      <c r="C31" s="64">
        <v>37245490.646519415</v>
      </c>
      <c r="D31" s="64">
        <v>45525674.22352685</v>
      </c>
      <c r="E31" s="64">
        <v>48896670.820260063</v>
      </c>
      <c r="F31" s="64">
        <v>48267575.685696267</v>
      </c>
    </row>
    <row r="32" spans="1:6" x14ac:dyDescent="0.25">
      <c r="A32" t="s">
        <v>54</v>
      </c>
      <c r="B32" s="64">
        <v>64893106.822375752</v>
      </c>
      <c r="C32" s="64">
        <v>67332162.56623815</v>
      </c>
      <c r="D32" s="64">
        <v>53030708.626087122</v>
      </c>
      <c r="E32" s="64">
        <v>52926315.682698362</v>
      </c>
      <c r="F32" s="64">
        <v>50825266.194834083</v>
      </c>
    </row>
    <row r="33" spans="1:6" x14ac:dyDescent="0.25">
      <c r="A33" t="s">
        <v>55</v>
      </c>
      <c r="B33" s="64">
        <v>14410118.872075656</v>
      </c>
      <c r="C33" s="64">
        <v>12699014.483629331</v>
      </c>
      <c r="D33" s="64">
        <v>11440449.852917392</v>
      </c>
      <c r="E33" s="64">
        <v>12089581.538925385</v>
      </c>
      <c r="F33" s="64">
        <v>13166233.794287158</v>
      </c>
    </row>
    <row r="34" spans="1:6" x14ac:dyDescent="0.25">
      <c r="A34" t="s">
        <v>56</v>
      </c>
      <c r="B34" s="64">
        <v>201855979.03426793</v>
      </c>
      <c r="C34" s="64">
        <v>209249563.93995595</v>
      </c>
      <c r="D34" s="64">
        <v>214916907.82069296</v>
      </c>
      <c r="E34" s="64">
        <v>211708983.88050804</v>
      </c>
      <c r="F34" s="64">
        <v>220027559.44483393</v>
      </c>
    </row>
    <row r="35" spans="1:6" x14ac:dyDescent="0.25">
      <c r="A35" t="s">
        <v>57</v>
      </c>
      <c r="B35" s="64">
        <v>11846264.162743254</v>
      </c>
      <c r="C35" s="64">
        <v>12580117.149156962</v>
      </c>
      <c r="D35" s="64">
        <v>14199557.924243143</v>
      </c>
      <c r="E35" s="64">
        <v>13030169.22714649</v>
      </c>
      <c r="F35" s="64">
        <v>14406838.204831738</v>
      </c>
    </row>
    <row r="37" spans="1:6" ht="15.75" thickBot="1" x14ac:dyDescent="0.3">
      <c r="A37" s="100" t="s">
        <v>31</v>
      </c>
      <c r="B37" s="101"/>
    </row>
    <row r="38" spans="1:6" ht="15.75" thickTop="1" x14ac:dyDescent="0.25">
      <c r="B38" s="6">
        <v>2013</v>
      </c>
      <c r="C38" s="7">
        <v>2014</v>
      </c>
      <c r="D38" s="7">
        <v>2015</v>
      </c>
      <c r="E38" s="7">
        <v>2016</v>
      </c>
      <c r="F38" s="8">
        <v>2017</v>
      </c>
    </row>
    <row r="39" spans="1:6" x14ac:dyDescent="0.25">
      <c r="A39" t="s">
        <v>48</v>
      </c>
      <c r="B39" s="61">
        <v>0.62739235734602083</v>
      </c>
      <c r="C39" s="61">
        <v>0.22019559719184142</v>
      </c>
      <c r="D39" s="61">
        <v>0.8084411464939435</v>
      </c>
      <c r="E39" s="61">
        <v>1.0891072396050856</v>
      </c>
      <c r="F39" s="61">
        <v>1.0734651364288343</v>
      </c>
    </row>
    <row r="40" spans="1:6" x14ac:dyDescent="0.25">
      <c r="A40" t="s">
        <v>50</v>
      </c>
      <c r="B40" s="61">
        <v>0.52049471318631046</v>
      </c>
      <c r="C40" s="61">
        <v>0.56704280280265662</v>
      </c>
      <c r="D40" s="61">
        <v>0.37349909511837154</v>
      </c>
      <c r="E40" s="61">
        <v>0.96894734941855365</v>
      </c>
      <c r="F40" s="61">
        <v>0.78268652597969524</v>
      </c>
    </row>
    <row r="41" spans="1:6" x14ac:dyDescent="0.25">
      <c r="A41" t="s">
        <v>51</v>
      </c>
      <c r="B41" s="61">
        <v>0.9672908263179566</v>
      </c>
      <c r="C41" s="61">
        <v>0.8781746946511324</v>
      </c>
      <c r="D41" s="61">
        <v>0.60748105487360449</v>
      </c>
      <c r="E41" s="61">
        <v>1.6196516534822589</v>
      </c>
      <c r="F41" s="61">
        <v>0.81645910834621238</v>
      </c>
    </row>
    <row r="42" spans="1:6" x14ac:dyDescent="0.25">
      <c r="A42" t="s">
        <v>52</v>
      </c>
      <c r="B42" s="61">
        <v>0.15300060309287469</v>
      </c>
      <c r="C42" s="61">
        <v>0.35521193731857104</v>
      </c>
      <c r="D42" s="61">
        <v>1.0364250037435074</v>
      </c>
      <c r="E42" s="61">
        <v>1.385156536496069</v>
      </c>
      <c r="F42" s="61">
        <v>0.98710301467315631</v>
      </c>
    </row>
    <row r="43" spans="1:6" x14ac:dyDescent="0.25">
      <c r="A43" t="s">
        <v>53</v>
      </c>
      <c r="B43" s="62">
        <v>0.64995629287733736</v>
      </c>
      <c r="C43" s="62">
        <v>1.0689089194990631</v>
      </c>
      <c r="D43" s="62">
        <v>0.62793882391904865</v>
      </c>
      <c r="E43" s="62">
        <v>0.73625177214517601</v>
      </c>
      <c r="F43" s="62">
        <v>0.44732441623559616</v>
      </c>
    </row>
    <row r="44" spans="1:6" x14ac:dyDescent="0.25">
      <c r="A44" t="s">
        <v>54</v>
      </c>
      <c r="B44" s="62">
        <v>0.28347858582995178</v>
      </c>
      <c r="C44" s="62">
        <v>0.54753276504315462</v>
      </c>
      <c r="D44" s="62">
        <v>0.70429542657091959</v>
      </c>
      <c r="E44" s="62">
        <v>0.83839165341121913</v>
      </c>
      <c r="F44" s="62">
        <v>0.68053419595874864</v>
      </c>
    </row>
    <row r="45" spans="1:6" x14ac:dyDescent="0.25">
      <c r="A45" t="s">
        <v>55</v>
      </c>
      <c r="B45" s="61">
        <v>0.80127329105244627</v>
      </c>
      <c r="C45" s="61">
        <v>1.2098958259925972</v>
      </c>
      <c r="D45" s="61">
        <v>1.0628665518248102</v>
      </c>
      <c r="E45" s="61">
        <v>0.62641207911130037</v>
      </c>
      <c r="F45" s="61">
        <v>1.7541952728865633</v>
      </c>
    </row>
    <row r="46" spans="1:6" x14ac:dyDescent="0.25">
      <c r="A46" t="s">
        <v>56</v>
      </c>
      <c r="B46" s="61">
        <v>0.4617553340572077</v>
      </c>
      <c r="C46" s="61">
        <v>0.54416114210434929</v>
      </c>
      <c r="D46" s="61">
        <v>0.3512432852732153</v>
      </c>
      <c r="E46" s="61">
        <v>0.45208088897864046</v>
      </c>
      <c r="F46" s="61">
        <v>0.47138394145782997</v>
      </c>
    </row>
    <row r="47" spans="1:6" x14ac:dyDescent="0.25">
      <c r="A47" t="s">
        <v>57</v>
      </c>
      <c r="B47" s="61">
        <v>0.89872194614572121</v>
      </c>
      <c r="C47" s="61">
        <v>0.8533893780169971</v>
      </c>
      <c r="D47" s="61">
        <v>1.2534384846362099</v>
      </c>
      <c r="E47" s="61">
        <v>1.9339873443769309</v>
      </c>
      <c r="F47" s="61">
        <v>0.50653934194864281</v>
      </c>
    </row>
    <row r="48" spans="1:6" x14ac:dyDescent="0.25">
      <c r="B48" s="63"/>
      <c r="C48" s="63"/>
      <c r="D48" s="63"/>
      <c r="E48" s="63"/>
      <c r="F48" s="63"/>
    </row>
    <row r="49" spans="1:6" ht="15.75" thickBot="1" x14ac:dyDescent="0.3">
      <c r="A49" s="100" t="s">
        <v>58</v>
      </c>
      <c r="B49" s="129"/>
    </row>
    <row r="50" spans="1:6" ht="15.75" thickTop="1" x14ac:dyDescent="0.25">
      <c r="B50" s="6">
        <v>2013</v>
      </c>
      <c r="C50" s="7">
        <v>2014</v>
      </c>
      <c r="D50" s="7">
        <v>2015</v>
      </c>
      <c r="E50" s="7">
        <v>2016</v>
      </c>
      <c r="F50" s="8">
        <v>2017</v>
      </c>
    </row>
    <row r="51" spans="1:6" x14ac:dyDescent="0.25">
      <c r="A51" t="s">
        <v>48</v>
      </c>
      <c r="B51" s="61">
        <v>0</v>
      </c>
      <c r="C51" s="61">
        <v>0</v>
      </c>
      <c r="D51" s="61">
        <v>0</v>
      </c>
      <c r="E51" s="61">
        <v>0</v>
      </c>
      <c r="F51" s="61">
        <v>0</v>
      </c>
    </row>
    <row r="52" spans="1:6" x14ac:dyDescent="0.25">
      <c r="A52" t="s">
        <v>50</v>
      </c>
      <c r="B52" s="61">
        <v>0</v>
      </c>
      <c r="C52" s="61">
        <v>0.44886451310615455</v>
      </c>
      <c r="D52" s="61">
        <v>2.6170862746984511</v>
      </c>
      <c r="E52" s="61">
        <v>1.7851898247044125</v>
      </c>
      <c r="F52" s="61">
        <v>1.6658054478108346</v>
      </c>
    </row>
    <row r="53" spans="1:6" x14ac:dyDescent="0.25">
      <c r="A53" t="s">
        <v>51</v>
      </c>
      <c r="B53" s="60">
        <v>1.4128801579555346</v>
      </c>
      <c r="C53" s="60">
        <v>2.1472492854606919</v>
      </c>
      <c r="D53" s="60">
        <v>6.7651584433133234</v>
      </c>
      <c r="E53" s="60">
        <v>0</v>
      </c>
      <c r="F53" s="60">
        <v>1.5474279003890523</v>
      </c>
    </row>
    <row r="54" spans="1:6" x14ac:dyDescent="0.25">
      <c r="A54" t="s">
        <v>52</v>
      </c>
      <c r="B54" s="60">
        <v>0</v>
      </c>
      <c r="C54" s="60">
        <v>0</v>
      </c>
      <c r="D54" s="60">
        <v>3.5056346720499572</v>
      </c>
      <c r="E54" s="60">
        <v>1.1456248951078956</v>
      </c>
      <c r="F54" s="60">
        <v>1.0929693833353817</v>
      </c>
    </row>
    <row r="55" spans="1:6" x14ac:dyDescent="0.25">
      <c r="A55" t="s">
        <v>53</v>
      </c>
      <c r="B55" s="60">
        <v>0</v>
      </c>
      <c r="C55" s="60">
        <v>3.7540508416738136</v>
      </c>
      <c r="D55" s="60">
        <v>3.4915187757392769</v>
      </c>
      <c r="E55" s="60">
        <v>1.2042042830613506</v>
      </c>
      <c r="F55" s="60">
        <v>1.2249065796096328</v>
      </c>
    </row>
    <row r="56" spans="1:6" x14ac:dyDescent="0.25">
      <c r="A56" t="s">
        <v>54</v>
      </c>
      <c r="B56" s="60">
        <v>1.4977583761267468</v>
      </c>
      <c r="C56" s="60">
        <v>0.69685565934802585</v>
      </c>
      <c r="D56" s="60">
        <v>0.72592765879861398</v>
      </c>
      <c r="E56" s="60">
        <v>0</v>
      </c>
      <c r="F56" s="60">
        <v>0</v>
      </c>
    </row>
    <row r="57" spans="1:6" x14ac:dyDescent="0.25">
      <c r="A57" t="s">
        <v>55</v>
      </c>
      <c r="B57" s="60">
        <v>2.0787033063845262</v>
      </c>
      <c r="C57" s="60">
        <v>0</v>
      </c>
      <c r="D57" s="60">
        <v>3.4295666538145095</v>
      </c>
      <c r="E57" s="60">
        <v>2.9918623219350842</v>
      </c>
      <c r="F57" s="60">
        <v>2.2717412302464561</v>
      </c>
    </row>
    <row r="58" spans="1:6" x14ac:dyDescent="0.25">
      <c r="A58" t="s">
        <v>56</v>
      </c>
      <c r="B58" s="60">
        <v>0.92348362833135911</v>
      </c>
      <c r="C58" s="60">
        <v>0.34642940789449267</v>
      </c>
      <c r="D58" s="60">
        <v>0.920824479239574</v>
      </c>
      <c r="E58" s="60">
        <v>0.70712368981819806</v>
      </c>
      <c r="F58" s="60">
        <v>0.6788492329792899</v>
      </c>
    </row>
    <row r="59" spans="1:6" x14ac:dyDescent="0.25">
      <c r="A59" t="s">
        <v>57</v>
      </c>
      <c r="B59" s="60">
        <v>0</v>
      </c>
      <c r="C59" s="60">
        <v>2.488300245031374</v>
      </c>
      <c r="D59" s="60">
        <v>2.3364077041083586</v>
      </c>
      <c r="E59" s="60">
        <v>4.5188653656567093</v>
      </c>
      <c r="F59" s="60">
        <v>1.8040641196797784</v>
      </c>
    </row>
  </sheetData>
  <sortState ref="A2:B18">
    <sortCondition ref="B2:B18"/>
  </sortState>
  <mergeCells count="2">
    <mergeCell ref="A37:B37"/>
    <mergeCell ref="A49:B49"/>
  </mergeCells>
  <conditionalFormatting sqref="B43:F43">
    <cfRule type="expression" dxfId="100" priority="2">
      <formula>ISERROR(B43)</formula>
    </cfRule>
  </conditionalFormatting>
  <conditionalFormatting sqref="B44:F44">
    <cfRule type="expression" dxfId="99" priority="1">
      <formula>ISERROR(B44)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G4" sqref="G4"/>
    </sheetView>
  </sheetViews>
  <sheetFormatPr defaultRowHeight="15" x14ac:dyDescent="0.25"/>
  <cols>
    <col min="1" max="1" width="37.42578125" bestFit="1" customWidth="1"/>
    <col min="2" max="2" width="16.42578125" bestFit="1" customWidth="1"/>
    <col min="3" max="7" width="15.42578125" customWidth="1"/>
    <col min="8" max="10" width="14.5703125" customWidth="1"/>
  </cols>
  <sheetData>
    <row r="1" spans="1:12" x14ac:dyDescent="0.25">
      <c r="A1" s="1" t="s">
        <v>59</v>
      </c>
      <c r="B1" s="1"/>
    </row>
    <row r="3" spans="1:12" x14ac:dyDescent="0.25">
      <c r="A3" s="2" t="s">
        <v>1</v>
      </c>
      <c r="B3" s="115" t="s">
        <v>2</v>
      </c>
      <c r="C3" s="115"/>
      <c r="D3" s="115"/>
    </row>
    <row r="4" spans="1:12" ht="40.15" customHeight="1" x14ac:dyDescent="0.25">
      <c r="A4" s="4" t="s">
        <v>60</v>
      </c>
      <c r="B4" s="131" t="s">
        <v>48</v>
      </c>
      <c r="C4" s="132"/>
      <c r="D4" s="132"/>
      <c r="F4" s="56"/>
      <c r="J4" s="3"/>
      <c r="K4" s="3"/>
      <c r="L4" s="3"/>
    </row>
    <row r="5" spans="1:12" ht="15.75" customHeight="1" x14ac:dyDescent="0.25">
      <c r="F5" s="3"/>
      <c r="G5" s="3"/>
      <c r="H5" s="3"/>
    </row>
    <row r="6" spans="1:12" ht="15.75" customHeight="1" x14ac:dyDescent="0.25">
      <c r="F6" s="3"/>
      <c r="G6" s="3"/>
      <c r="H6" s="3"/>
    </row>
    <row r="7" spans="1:12" ht="15.75" customHeight="1" thickBot="1" x14ac:dyDescent="0.3">
      <c r="F7" s="3"/>
      <c r="G7" s="3"/>
      <c r="H7" s="3"/>
      <c r="I7" s="3"/>
      <c r="J7" s="3"/>
      <c r="K7" s="3"/>
      <c r="L7" s="3"/>
    </row>
    <row r="8" spans="1:12" ht="15.75" thickTop="1" x14ac:dyDescent="0.25">
      <c r="A8" s="116"/>
      <c r="B8" s="117"/>
      <c r="C8" s="85" t="s">
        <v>3</v>
      </c>
      <c r="D8" s="86"/>
      <c r="E8" s="86"/>
      <c r="F8" s="86"/>
      <c r="G8" s="87"/>
    </row>
    <row r="9" spans="1:12" ht="15.75" thickBot="1" x14ac:dyDescent="0.3">
      <c r="A9" s="118"/>
      <c r="B9" s="119"/>
      <c r="C9" s="6">
        <v>2013</v>
      </c>
      <c r="D9" s="7">
        <v>2014</v>
      </c>
      <c r="E9" s="7">
        <v>2015</v>
      </c>
      <c r="F9" s="7">
        <v>2016</v>
      </c>
      <c r="G9" s="8">
        <v>2017</v>
      </c>
    </row>
    <row r="10" spans="1:12" ht="15.75" thickTop="1" x14ac:dyDescent="0.25">
      <c r="A10" s="130" t="s">
        <v>4</v>
      </c>
      <c r="B10" s="9" t="s">
        <v>5</v>
      </c>
      <c r="C10" s="10" t="s">
        <v>6</v>
      </c>
      <c r="D10" s="11" t="s">
        <v>6</v>
      </c>
      <c r="E10" s="11" t="s">
        <v>6</v>
      </c>
      <c r="F10" s="11" t="s">
        <v>6</v>
      </c>
      <c r="G10" s="12" t="s">
        <v>6</v>
      </c>
    </row>
    <row r="11" spans="1:12" x14ac:dyDescent="0.25">
      <c r="A11" s="112"/>
      <c r="B11" s="13" t="s">
        <v>7</v>
      </c>
      <c r="C11" s="14">
        <f>0.37294</f>
        <v>0.37293999999999999</v>
      </c>
      <c r="D11" s="14">
        <f t="shared" ref="D11:G11" si="0">0.37294</f>
        <v>0.37293999999999999</v>
      </c>
      <c r="E11" s="14">
        <f t="shared" si="0"/>
        <v>0.37293999999999999</v>
      </c>
      <c r="F11" s="14">
        <f t="shared" si="0"/>
        <v>0.37293999999999999</v>
      </c>
      <c r="G11" s="14">
        <f t="shared" si="0"/>
        <v>0.37293999999999999</v>
      </c>
    </row>
    <row r="12" spans="1:12" ht="15.75" thickBot="1" x14ac:dyDescent="0.3">
      <c r="A12" s="114"/>
      <c r="B12" s="16" t="s">
        <v>8</v>
      </c>
      <c r="C12" s="17"/>
      <c r="D12" s="17"/>
      <c r="E12" s="17"/>
      <c r="F12" s="17"/>
      <c r="G12" s="18"/>
    </row>
    <row r="13" spans="1:12" x14ac:dyDescent="0.25">
      <c r="A13" s="111" t="s">
        <v>61</v>
      </c>
      <c r="B13" s="19" t="s">
        <v>5</v>
      </c>
      <c r="C13" s="20" t="s">
        <v>6</v>
      </c>
      <c r="D13" s="21" t="s">
        <v>6</v>
      </c>
      <c r="E13" s="21" t="s">
        <v>6</v>
      </c>
      <c r="F13" s="21" t="s">
        <v>6</v>
      </c>
      <c r="G13" s="22" t="s">
        <v>6</v>
      </c>
    </row>
    <row r="14" spans="1:12" x14ac:dyDescent="0.25">
      <c r="A14" s="112"/>
      <c r="B14" s="13" t="s">
        <v>7</v>
      </c>
      <c r="C14" s="23">
        <f>132028</f>
        <v>132028</v>
      </c>
      <c r="D14" s="23">
        <f>132192</f>
        <v>132192</v>
      </c>
      <c r="E14" s="23">
        <f>132217</f>
        <v>132217</v>
      </c>
      <c r="F14" s="23">
        <v>132365</v>
      </c>
      <c r="G14" s="24">
        <f>132072</f>
        <v>132072</v>
      </c>
    </row>
    <row r="15" spans="1:12" ht="15.75" thickBot="1" x14ac:dyDescent="0.3">
      <c r="A15" s="114"/>
      <c r="B15" s="16" t="s">
        <v>8</v>
      </c>
      <c r="C15" s="17"/>
      <c r="D15" s="17"/>
      <c r="E15" s="17"/>
      <c r="F15" s="17"/>
      <c r="G15" s="18"/>
    </row>
    <row r="16" spans="1:12" x14ac:dyDescent="0.25">
      <c r="A16" s="111" t="s">
        <v>62</v>
      </c>
      <c r="B16" s="19" t="s">
        <v>5</v>
      </c>
      <c r="C16" s="20" t="s">
        <v>6</v>
      </c>
      <c r="D16" s="21" t="s">
        <v>6</v>
      </c>
      <c r="E16" s="21" t="s">
        <v>6</v>
      </c>
      <c r="F16" s="21" t="s">
        <v>6</v>
      </c>
      <c r="G16" s="22" t="s">
        <v>6</v>
      </c>
    </row>
    <row r="17" spans="1:7" x14ac:dyDescent="0.25">
      <c r="A17" s="112"/>
      <c r="B17" s="13" t="s">
        <v>7</v>
      </c>
      <c r="C17" s="14">
        <f>0.87018</f>
        <v>0.87017999999999995</v>
      </c>
      <c r="D17" s="14">
        <f>0.82543</f>
        <v>0.82543</v>
      </c>
      <c r="E17" s="14">
        <f>0.89912</f>
        <v>0.89912000000000003</v>
      </c>
      <c r="F17" s="14">
        <v>1</v>
      </c>
      <c r="G17" s="14">
        <f>0.84735</f>
        <v>0.84735000000000005</v>
      </c>
    </row>
    <row r="18" spans="1:7" ht="15.75" thickBot="1" x14ac:dyDescent="0.3">
      <c r="A18" s="113"/>
      <c r="B18" s="16" t="s">
        <v>8</v>
      </c>
      <c r="C18" s="17"/>
      <c r="D18" s="17"/>
      <c r="E18" s="17"/>
      <c r="F18" s="17"/>
      <c r="G18" s="18"/>
    </row>
    <row r="19" spans="1:7" ht="15.75" thickBot="1" x14ac:dyDescent="0.3">
      <c r="A19" s="109" t="s">
        <v>11</v>
      </c>
      <c r="B19" s="110"/>
      <c r="C19" s="25">
        <f>15638850</f>
        <v>15638850</v>
      </c>
      <c r="D19" s="26">
        <f>14852999</f>
        <v>14852999</v>
      </c>
      <c r="E19" s="26">
        <f>16182080</f>
        <v>16182080</v>
      </c>
      <c r="F19" s="26">
        <v>18017867</v>
      </c>
      <c r="G19" s="27">
        <v>15233680</v>
      </c>
    </row>
    <row r="20" spans="1:7" x14ac:dyDescent="0.25">
      <c r="A20" s="111" t="s">
        <v>12</v>
      </c>
      <c r="B20" s="19" t="s">
        <v>5</v>
      </c>
      <c r="C20" s="20" t="s">
        <v>6</v>
      </c>
      <c r="D20" s="21" t="s">
        <v>6</v>
      </c>
      <c r="E20" s="21" t="s">
        <v>6</v>
      </c>
      <c r="F20" s="21" t="s">
        <v>6</v>
      </c>
      <c r="G20" s="22" t="s">
        <v>6</v>
      </c>
    </row>
    <row r="21" spans="1:7" x14ac:dyDescent="0.25">
      <c r="A21" s="112"/>
      <c r="B21" s="13" t="s">
        <v>7</v>
      </c>
      <c r="C21" s="14">
        <f>0.72164</f>
        <v>0.72163999999999995</v>
      </c>
      <c r="D21" s="14">
        <f t="shared" ref="D21:G21" si="1">0.72164</f>
        <v>0.72163999999999995</v>
      </c>
      <c r="E21" s="14">
        <f t="shared" si="1"/>
        <v>0.72163999999999995</v>
      </c>
      <c r="F21" s="14">
        <f t="shared" si="1"/>
        <v>0.72163999999999995</v>
      </c>
      <c r="G21" s="14">
        <f t="shared" si="1"/>
        <v>0.72163999999999995</v>
      </c>
    </row>
    <row r="22" spans="1:7" ht="15.75" thickBot="1" x14ac:dyDescent="0.3">
      <c r="A22" s="113"/>
      <c r="B22" s="16" t="s">
        <v>8</v>
      </c>
      <c r="C22" s="17"/>
      <c r="D22" s="17"/>
      <c r="E22" s="17"/>
      <c r="F22" s="17"/>
      <c r="G22" s="18"/>
    </row>
    <row r="23" spans="1:7" ht="15.75" thickBot="1" x14ac:dyDescent="0.3">
      <c r="A23" s="109" t="s">
        <v>13</v>
      </c>
      <c r="B23" s="110"/>
      <c r="C23" s="25">
        <v>11285609</v>
      </c>
      <c r="D23" s="26">
        <v>10718508</v>
      </c>
      <c r="E23" s="26">
        <v>11677626</v>
      </c>
      <c r="F23" s="26">
        <v>13002401</v>
      </c>
      <c r="G23" s="27">
        <v>10993223</v>
      </c>
    </row>
    <row r="24" spans="1:7" x14ac:dyDescent="0.25">
      <c r="A24" s="111" t="s">
        <v>14</v>
      </c>
      <c r="B24" s="19" t="s">
        <v>5</v>
      </c>
      <c r="C24" s="20" t="s">
        <v>6</v>
      </c>
      <c r="D24" s="21" t="s">
        <v>6</v>
      </c>
      <c r="E24" s="21" t="s">
        <v>6</v>
      </c>
      <c r="F24" s="21" t="s">
        <v>6</v>
      </c>
      <c r="G24" s="22" t="s">
        <v>6</v>
      </c>
    </row>
    <row r="25" spans="1:7" x14ac:dyDescent="0.25">
      <c r="A25" s="112"/>
      <c r="B25" s="13" t="s">
        <v>7</v>
      </c>
      <c r="C25" s="14">
        <f>18.34545</f>
        <v>18.34545</v>
      </c>
      <c r="D25" s="14">
        <f t="shared" ref="D25:G25" si="2">18.34545</f>
        <v>18.34545</v>
      </c>
      <c r="E25" s="14">
        <f t="shared" si="2"/>
        <v>18.34545</v>
      </c>
      <c r="F25" s="14">
        <f t="shared" si="2"/>
        <v>18.34545</v>
      </c>
      <c r="G25" s="14">
        <f t="shared" si="2"/>
        <v>18.34545</v>
      </c>
    </row>
    <row r="26" spans="1:7" ht="15.75" thickBot="1" x14ac:dyDescent="0.3">
      <c r="A26" s="114"/>
      <c r="B26" s="16" t="s">
        <v>8</v>
      </c>
      <c r="C26" s="28"/>
      <c r="D26" s="29"/>
      <c r="E26" s="29"/>
      <c r="F26" s="29"/>
      <c r="G26" s="30"/>
    </row>
    <row r="27" spans="1:7" ht="15.75" thickBot="1" x14ac:dyDescent="0.3">
      <c r="A27" s="109" t="s">
        <v>15</v>
      </c>
      <c r="B27" s="110"/>
      <c r="C27" s="31">
        <f>C19*(IF(C24="Default",C25,C26)/60)</f>
        <v>4781695.6788750002</v>
      </c>
      <c r="D27" s="32">
        <f t="shared" ref="D27:G27" si="3">D19*(IF(D24="Default",D25,D26)/60)</f>
        <v>4541415.8417425007</v>
      </c>
      <c r="E27" s="32">
        <f t="shared" si="3"/>
        <v>4947792.3256000001</v>
      </c>
      <c r="F27" s="32">
        <f t="shared" si="3"/>
        <v>5509097.9692525007</v>
      </c>
      <c r="G27" s="33">
        <f t="shared" si="3"/>
        <v>4657811.9126000004</v>
      </c>
    </row>
    <row r="28" spans="1:7" x14ac:dyDescent="0.25">
      <c r="A28" s="98" t="s">
        <v>16</v>
      </c>
      <c r="B28" s="99"/>
      <c r="C28" s="34">
        <v>3</v>
      </c>
      <c r="D28" s="35">
        <v>1</v>
      </c>
      <c r="E28" s="35">
        <v>4</v>
      </c>
      <c r="F28" s="35">
        <v>6</v>
      </c>
      <c r="G28" s="36">
        <v>5</v>
      </c>
    </row>
    <row r="29" spans="1:7" ht="15.75" thickBot="1" x14ac:dyDescent="0.3">
      <c r="A29" s="100" t="s">
        <v>17</v>
      </c>
      <c r="B29" s="101"/>
      <c r="C29" s="37">
        <v>0.62739249870159375</v>
      </c>
      <c r="D29" s="38">
        <v>0.22019564709500572</v>
      </c>
      <c r="E29" s="38">
        <v>0.80844136875024053</v>
      </c>
      <c r="F29" s="38">
        <v>1.0891075151480936</v>
      </c>
      <c r="G29" s="39">
        <v>1.0734654154828225</v>
      </c>
    </row>
    <row r="30" spans="1:7" ht="15.75" thickTop="1" x14ac:dyDescent="0.25"/>
    <row r="31" spans="1:7" ht="15.75" thickBot="1" x14ac:dyDescent="0.3"/>
    <row r="32" spans="1:7" ht="15.75" thickTop="1" x14ac:dyDescent="0.25">
      <c r="A32" s="102"/>
      <c r="B32" s="103"/>
      <c r="C32" s="85" t="s">
        <v>18</v>
      </c>
      <c r="D32" s="86"/>
      <c r="E32" s="86"/>
      <c r="F32" s="86"/>
      <c r="G32" s="87"/>
    </row>
    <row r="33" spans="1:7" ht="15.75" thickBot="1" x14ac:dyDescent="0.3">
      <c r="A33" s="104"/>
      <c r="B33" s="105"/>
      <c r="C33" s="40">
        <v>2013</v>
      </c>
      <c r="D33" s="41">
        <v>2014</v>
      </c>
      <c r="E33" s="41">
        <v>2015</v>
      </c>
      <c r="F33" s="41">
        <v>2016</v>
      </c>
      <c r="G33" s="42">
        <v>2017</v>
      </c>
    </row>
    <row r="34" spans="1:7" ht="15.75" thickTop="1" x14ac:dyDescent="0.25">
      <c r="A34" s="88" t="s">
        <v>4</v>
      </c>
      <c r="B34" s="43" t="s">
        <v>5</v>
      </c>
      <c r="C34" s="10" t="s">
        <v>6</v>
      </c>
      <c r="D34" s="11" t="s">
        <v>6</v>
      </c>
      <c r="E34" s="11" t="s">
        <v>6</v>
      </c>
      <c r="F34" s="11" t="s">
        <v>6</v>
      </c>
      <c r="G34" s="12" t="s">
        <v>6</v>
      </c>
    </row>
    <row r="35" spans="1:7" x14ac:dyDescent="0.25">
      <c r="A35" s="89"/>
      <c r="B35" s="44" t="s">
        <v>7</v>
      </c>
      <c r="C35" s="14">
        <f>0.02197</f>
        <v>2.197E-2</v>
      </c>
      <c r="D35" s="14">
        <f t="shared" ref="D35:G35" si="4">0.02197</f>
        <v>2.197E-2</v>
      </c>
      <c r="E35" s="14">
        <f t="shared" si="4"/>
        <v>2.197E-2</v>
      </c>
      <c r="F35" s="14">
        <f t="shared" si="4"/>
        <v>2.197E-2</v>
      </c>
      <c r="G35" s="14">
        <f t="shared" si="4"/>
        <v>2.197E-2</v>
      </c>
    </row>
    <row r="36" spans="1:7" ht="15.75" thickBot="1" x14ac:dyDescent="0.3">
      <c r="A36" s="90"/>
      <c r="B36" s="45" t="s">
        <v>8</v>
      </c>
      <c r="C36" s="28"/>
      <c r="D36" s="29"/>
      <c r="E36" s="29"/>
      <c r="F36" s="29"/>
      <c r="G36" s="30"/>
    </row>
    <row r="37" spans="1:7" x14ac:dyDescent="0.25">
      <c r="A37" s="94" t="s">
        <v>61</v>
      </c>
      <c r="B37" s="46" t="s">
        <v>5</v>
      </c>
      <c r="C37" s="20" t="s">
        <v>6</v>
      </c>
      <c r="D37" s="21" t="s">
        <v>6</v>
      </c>
      <c r="E37" s="21" t="s">
        <v>6</v>
      </c>
      <c r="F37" s="21" t="s">
        <v>6</v>
      </c>
      <c r="G37" s="22" t="s">
        <v>6</v>
      </c>
    </row>
    <row r="38" spans="1:7" x14ac:dyDescent="0.25">
      <c r="A38" s="89"/>
      <c r="B38" s="44" t="s">
        <v>7</v>
      </c>
      <c r="C38" s="23">
        <v>132028</v>
      </c>
      <c r="D38" s="23">
        <v>132192</v>
      </c>
      <c r="E38" s="23">
        <v>132217</v>
      </c>
      <c r="F38" s="23">
        <v>132365</v>
      </c>
      <c r="G38" s="24">
        <v>132072</v>
      </c>
    </row>
    <row r="39" spans="1:7" ht="15.75" thickBot="1" x14ac:dyDescent="0.3">
      <c r="A39" s="90"/>
      <c r="B39" s="45" t="s">
        <v>8</v>
      </c>
      <c r="C39" s="28"/>
      <c r="D39" s="29"/>
      <c r="E39" s="29"/>
      <c r="F39" s="29"/>
      <c r="G39" s="30"/>
    </row>
    <row r="40" spans="1:7" x14ac:dyDescent="0.25">
      <c r="A40" s="94" t="s">
        <v>63</v>
      </c>
      <c r="B40" s="46" t="s">
        <v>5</v>
      </c>
      <c r="C40" s="20" t="s">
        <v>6</v>
      </c>
      <c r="D40" s="21" t="s">
        <v>6</v>
      </c>
      <c r="E40" s="21" t="s">
        <v>6</v>
      </c>
      <c r="F40" s="21" t="s">
        <v>6</v>
      </c>
      <c r="G40" s="22" t="s">
        <v>6</v>
      </c>
    </row>
    <row r="41" spans="1:7" x14ac:dyDescent="0.25">
      <c r="A41" s="89"/>
      <c r="B41" s="44" t="s">
        <v>7</v>
      </c>
      <c r="C41" s="14">
        <f>0.94536</f>
        <v>0.94535999999999998</v>
      </c>
      <c r="D41" s="14">
        <f>1.09164</f>
        <v>1.0916399999999999</v>
      </c>
      <c r="E41" s="14">
        <f>1.16193</f>
        <v>1.1619299999999999</v>
      </c>
      <c r="F41" s="14">
        <f>1</f>
        <v>1</v>
      </c>
      <c r="G41" s="15">
        <f>0.92241</f>
        <v>0.92240999999999995</v>
      </c>
    </row>
    <row r="42" spans="1:7" ht="15.75" thickBot="1" x14ac:dyDescent="0.3">
      <c r="A42" s="95"/>
      <c r="B42" s="45" t="s">
        <v>8</v>
      </c>
      <c r="C42" s="28"/>
      <c r="D42" s="29"/>
      <c r="E42" s="29"/>
      <c r="F42" s="29"/>
      <c r="G42" s="30"/>
    </row>
    <row r="43" spans="1:7" ht="15.75" thickBot="1" x14ac:dyDescent="0.3">
      <c r="A43" s="96" t="s">
        <v>19</v>
      </c>
      <c r="B43" s="97"/>
      <c r="C43" s="31">
        <v>1000889.6271510239</v>
      </c>
      <c r="D43" s="32">
        <v>1157197.629766464</v>
      </c>
      <c r="E43" s="32">
        <v>1231941.7829023304</v>
      </c>
      <c r="F43" s="32">
        <v>1061441.5532499999</v>
      </c>
      <c r="G43" s="33">
        <v>976917.02552355581</v>
      </c>
    </row>
    <row r="44" spans="1:7" x14ac:dyDescent="0.25">
      <c r="A44" s="94" t="s">
        <v>12</v>
      </c>
      <c r="B44" s="46" t="s">
        <v>5</v>
      </c>
      <c r="C44" s="20" t="s">
        <v>6</v>
      </c>
      <c r="D44" s="21" t="s">
        <v>6</v>
      </c>
      <c r="E44" s="21" t="s">
        <v>6</v>
      </c>
      <c r="F44" s="21" t="s">
        <v>6</v>
      </c>
      <c r="G44" s="22" t="s">
        <v>6</v>
      </c>
    </row>
    <row r="45" spans="1:7" x14ac:dyDescent="0.25">
      <c r="A45" s="89"/>
      <c r="B45" s="44" t="s">
        <v>7</v>
      </c>
      <c r="C45" s="14">
        <f>2.80101</f>
        <v>2.8010100000000002</v>
      </c>
      <c r="D45" s="14">
        <f t="shared" ref="D45:G45" si="5">2.80101</f>
        <v>2.8010100000000002</v>
      </c>
      <c r="E45" s="14">
        <f t="shared" si="5"/>
        <v>2.8010100000000002</v>
      </c>
      <c r="F45" s="14">
        <f t="shared" si="5"/>
        <v>2.8010100000000002</v>
      </c>
      <c r="G45" s="14">
        <f t="shared" si="5"/>
        <v>2.8010100000000002</v>
      </c>
    </row>
    <row r="46" spans="1:7" ht="15.75" thickBot="1" x14ac:dyDescent="0.3">
      <c r="A46" s="95"/>
      <c r="B46" s="45" t="s">
        <v>8</v>
      </c>
      <c r="C46" s="28"/>
      <c r="D46" s="29"/>
      <c r="E46" s="29"/>
      <c r="F46" s="29"/>
      <c r="G46" s="30"/>
    </row>
    <row r="47" spans="1:7" ht="15.75" thickBot="1" x14ac:dyDescent="0.3">
      <c r="A47" s="96" t="s">
        <v>20</v>
      </c>
      <c r="B47" s="97"/>
      <c r="C47" s="31">
        <v>2803501.8545462899</v>
      </c>
      <c r="D47" s="32">
        <v>3241322.1329521635</v>
      </c>
      <c r="E47" s="32">
        <v>3450681.2533272565</v>
      </c>
      <c r="F47" s="32">
        <v>2973108.4050687826</v>
      </c>
      <c r="G47" s="33">
        <v>2736354.3576617353</v>
      </c>
    </row>
    <row r="48" spans="1:7" x14ac:dyDescent="0.25">
      <c r="A48" s="94" t="s">
        <v>14</v>
      </c>
      <c r="B48" s="46" t="s">
        <v>5</v>
      </c>
      <c r="C48" s="20" t="s">
        <v>6</v>
      </c>
      <c r="D48" s="21" t="s">
        <v>6</v>
      </c>
      <c r="E48" s="21" t="s">
        <v>6</v>
      </c>
      <c r="F48" s="21" t="s">
        <v>6</v>
      </c>
      <c r="G48" s="22" t="s">
        <v>6</v>
      </c>
    </row>
    <row r="49" spans="1:7" x14ac:dyDescent="0.25">
      <c r="A49" s="89"/>
      <c r="B49" s="44" t="s">
        <v>7</v>
      </c>
      <c r="C49" s="14">
        <f>24.61017</f>
        <v>24.61017</v>
      </c>
      <c r="D49" s="14">
        <f t="shared" ref="D49:G49" si="6">24.61017</f>
        <v>24.61017</v>
      </c>
      <c r="E49" s="14">
        <f t="shared" si="6"/>
        <v>24.61017</v>
      </c>
      <c r="F49" s="14">
        <f t="shared" si="6"/>
        <v>24.61017</v>
      </c>
      <c r="G49" s="14">
        <f t="shared" si="6"/>
        <v>24.61017</v>
      </c>
    </row>
    <row r="50" spans="1:7" ht="15.75" thickBot="1" x14ac:dyDescent="0.3">
      <c r="A50" s="90"/>
      <c r="B50" s="45" t="s">
        <v>8</v>
      </c>
      <c r="C50" s="28"/>
      <c r="D50" s="29"/>
      <c r="E50" s="29"/>
      <c r="F50" s="29"/>
      <c r="G50" s="30"/>
    </row>
    <row r="51" spans="1:7" ht="15.75" thickBot="1" x14ac:dyDescent="0.3">
      <c r="A51" s="96" t="s">
        <v>21</v>
      </c>
      <c r="B51" s="97"/>
      <c r="C51" s="31">
        <v>410534.39792372193</v>
      </c>
      <c r="D51" s="32">
        <v>474647.17320249567</v>
      </c>
      <c r="E51" s="32">
        <v>505304.94512215746</v>
      </c>
      <c r="F51" s="32">
        <v>435370.95117577584</v>
      </c>
      <c r="G51" s="33">
        <v>400701.56790048414</v>
      </c>
    </row>
    <row r="52" spans="1:7" x14ac:dyDescent="0.25">
      <c r="A52" s="77" t="s">
        <v>16</v>
      </c>
      <c r="B52" s="78"/>
      <c r="C52" s="34">
        <v>0</v>
      </c>
      <c r="D52" s="35">
        <v>0</v>
      </c>
      <c r="E52" s="35">
        <v>0</v>
      </c>
      <c r="F52" s="35">
        <v>0</v>
      </c>
      <c r="G52" s="36">
        <v>0</v>
      </c>
    </row>
    <row r="53" spans="1:7" ht="15.75" thickBot="1" x14ac:dyDescent="0.3">
      <c r="A53" s="79" t="s">
        <v>17</v>
      </c>
      <c r="B53" s="80"/>
      <c r="C53" s="37">
        <f>C52/(C51/1000000)</f>
        <v>0</v>
      </c>
      <c r="D53" s="38">
        <f t="shared" ref="D53:G53" si="7">D52/(D51/1000000)</f>
        <v>0</v>
      </c>
      <c r="E53" s="38">
        <v>0</v>
      </c>
      <c r="F53" s="38">
        <f t="shared" si="7"/>
        <v>0</v>
      </c>
      <c r="G53" s="39">
        <f t="shared" si="7"/>
        <v>0</v>
      </c>
    </row>
    <row r="54" spans="1:7" ht="15.75" thickTop="1" x14ac:dyDescent="0.25"/>
    <row r="55" spans="1:7" ht="15.75" thickBot="1" x14ac:dyDescent="0.3"/>
    <row r="56" spans="1:7" ht="15.75" thickTop="1" x14ac:dyDescent="0.25">
      <c r="A56" s="81"/>
      <c r="B56" s="82"/>
      <c r="C56" s="85" t="s">
        <v>22</v>
      </c>
      <c r="D56" s="86"/>
      <c r="E56" s="86"/>
      <c r="F56" s="86"/>
      <c r="G56" s="87"/>
    </row>
    <row r="57" spans="1:7" ht="15.75" thickBot="1" x14ac:dyDescent="0.3">
      <c r="A57" s="83"/>
      <c r="B57" s="84"/>
      <c r="C57" s="6">
        <v>2013</v>
      </c>
      <c r="D57" s="7">
        <v>2014</v>
      </c>
      <c r="E57" s="7">
        <v>2015</v>
      </c>
      <c r="F57" s="7">
        <v>2016</v>
      </c>
      <c r="G57" s="8">
        <v>2017</v>
      </c>
    </row>
    <row r="58" spans="1:7" x14ac:dyDescent="0.25">
      <c r="A58" s="91" t="s">
        <v>23</v>
      </c>
      <c r="B58" s="92"/>
      <c r="C58" s="47">
        <v>11846264</v>
      </c>
      <c r="D58" s="48">
        <f t="shared" ref="D58:G58" si="8">D19+D43</f>
        <v>16010196.629766464</v>
      </c>
      <c r="E58" s="48">
        <f t="shared" si="8"/>
        <v>17414021.78290233</v>
      </c>
      <c r="F58" s="48">
        <f t="shared" si="8"/>
        <v>19079308.55325</v>
      </c>
      <c r="G58" s="49">
        <f t="shared" si="8"/>
        <v>16210597.025523556</v>
      </c>
    </row>
    <row r="59" spans="1:7" x14ac:dyDescent="0.25">
      <c r="A59" s="93" t="s">
        <v>24</v>
      </c>
      <c r="B59" s="74"/>
      <c r="C59" s="50">
        <f t="shared" ref="C59:G59" si="9">C23+C47</f>
        <v>14089110.85454629</v>
      </c>
      <c r="D59" s="51">
        <f t="shared" si="9"/>
        <v>13959830.132952163</v>
      </c>
      <c r="E59" s="51">
        <f t="shared" si="9"/>
        <v>15128307.253327256</v>
      </c>
      <c r="F59" s="51">
        <f t="shared" si="9"/>
        <v>15975509.405068783</v>
      </c>
      <c r="G59" s="52">
        <f t="shared" si="9"/>
        <v>13729577.357661735</v>
      </c>
    </row>
    <row r="60" spans="1:7" x14ac:dyDescent="0.25">
      <c r="A60" s="73" t="s">
        <v>25</v>
      </c>
      <c r="B60" s="74"/>
      <c r="C60" s="50">
        <f t="shared" ref="C60:G61" si="10">C27+C51</f>
        <v>5192230.0767987221</v>
      </c>
      <c r="D60" s="51">
        <f t="shared" si="10"/>
        <v>5016063.0149449967</v>
      </c>
      <c r="E60" s="51">
        <f t="shared" si="10"/>
        <v>5453097.2707221573</v>
      </c>
      <c r="F60" s="51">
        <f t="shared" si="10"/>
        <v>5944468.9204282761</v>
      </c>
      <c r="G60" s="52">
        <f t="shared" si="10"/>
        <v>5058513.4805004848</v>
      </c>
    </row>
    <row r="61" spans="1:7" x14ac:dyDescent="0.25">
      <c r="A61" s="73" t="s">
        <v>26</v>
      </c>
      <c r="B61" s="74"/>
      <c r="C61" s="53">
        <f t="shared" si="10"/>
        <v>3</v>
      </c>
      <c r="D61" s="54">
        <f t="shared" si="10"/>
        <v>1</v>
      </c>
      <c r="E61" s="54">
        <f t="shared" si="10"/>
        <v>4</v>
      </c>
      <c r="F61" s="54">
        <f>F28+F52</f>
        <v>6</v>
      </c>
      <c r="G61" s="55">
        <f t="shared" si="10"/>
        <v>5</v>
      </c>
    </row>
    <row r="62" spans="1:7" ht="15.75" thickBot="1" x14ac:dyDescent="0.3">
      <c r="A62" s="75" t="s">
        <v>27</v>
      </c>
      <c r="B62" s="76"/>
      <c r="C62" s="37">
        <f>C61/(C60/1000000)</f>
        <v>0.57778641462853952</v>
      </c>
      <c r="D62" s="38">
        <f t="shared" ref="D62:G62" si="11">D61/(D60/1000000)</f>
        <v>0.19935953695569064</v>
      </c>
      <c r="E62" s="38">
        <f t="shared" si="11"/>
        <v>0.73352808530963132</v>
      </c>
      <c r="F62" s="38">
        <f t="shared" si="11"/>
        <v>1.0093416384735212</v>
      </c>
      <c r="G62" s="39">
        <f t="shared" si="11"/>
        <v>0.98843267281464353</v>
      </c>
    </row>
    <row r="63" spans="1:7" ht="15.75" thickTop="1" x14ac:dyDescent="0.25"/>
  </sheetData>
  <mergeCells count="33">
    <mergeCell ref="A59:B59"/>
    <mergeCell ref="A60:B60"/>
    <mergeCell ref="A61:B61"/>
    <mergeCell ref="A62:B62"/>
    <mergeCell ref="A51:B51"/>
    <mergeCell ref="A52:B52"/>
    <mergeCell ref="A53:B53"/>
    <mergeCell ref="A56:B57"/>
    <mergeCell ref="C32:G32"/>
    <mergeCell ref="C56:G56"/>
    <mergeCell ref="A58:B58"/>
    <mergeCell ref="A37:A39"/>
    <mergeCell ref="A40:A42"/>
    <mergeCell ref="A43:B43"/>
    <mergeCell ref="A44:A46"/>
    <mergeCell ref="A47:B47"/>
    <mergeCell ref="A48:A50"/>
    <mergeCell ref="A34:A36"/>
    <mergeCell ref="A13:A15"/>
    <mergeCell ref="A16:A18"/>
    <mergeCell ref="A19:B19"/>
    <mergeCell ref="A20:A22"/>
    <mergeCell ref="A23:B23"/>
    <mergeCell ref="A24:A26"/>
    <mergeCell ref="A27:B27"/>
    <mergeCell ref="A28:B28"/>
    <mergeCell ref="A29:B29"/>
    <mergeCell ref="A32:B33"/>
    <mergeCell ref="A10:A12"/>
    <mergeCell ref="B3:D3"/>
    <mergeCell ref="B4:D4"/>
    <mergeCell ref="A8:B9"/>
    <mergeCell ref="C8:G8"/>
  </mergeCells>
  <conditionalFormatting sqref="C14:G14 C38:G38 C41:G41 C11:G11 C17:G17 C21:G21 C25:G25 C35:G35 C45:G45 C49:G49">
    <cfRule type="expression" dxfId="98" priority="11">
      <formula>C10="Default"</formula>
    </cfRule>
  </conditionalFormatting>
  <conditionalFormatting sqref="C12:G12 C15:G15 C18:G18 C22:G22 C26:G26 C36:G36 C39:G39 C42:G42 C46:G46">
    <cfRule type="expression" dxfId="97" priority="10">
      <formula>C10="User Input"</formula>
    </cfRule>
  </conditionalFormatting>
  <conditionalFormatting sqref="C12:G12 C15:G15 C18:G18 C22:G22 C26:G26 C36:G36 C39:G39 C42:G42 C46:G46">
    <cfRule type="expression" dxfId="96" priority="9">
      <formula>AND(C10="User Input",OR(ISBLANK(C12)=TRUE,ISTEXT(C12)=TRUE,C12&lt;0))</formula>
    </cfRule>
  </conditionalFormatting>
  <conditionalFormatting sqref="C50:G50">
    <cfRule type="expression" dxfId="95" priority="7">
      <formula>AND(C48="User Input",OR(ISBLANK(C50)=TRUE,ISTEXT(C50)=TRUE,C50&lt;0))</formula>
    </cfRule>
    <cfRule type="expression" dxfId="94" priority="8">
      <formula>C48="User Input"</formula>
    </cfRule>
  </conditionalFormatting>
  <conditionalFormatting sqref="C19:G19 C43:G43">
    <cfRule type="expression" dxfId="93" priority="4">
      <formula>AND(C16="User Input",OR(ISBLANK(C18)=TRUE,ISTEXT(C18)=TRUE,C18&lt;0))</formula>
    </cfRule>
    <cfRule type="expression" dxfId="92" priority="5">
      <formula>AND(C13="User Input",OR(ISBLANK(C15)=TRUE,ISTEXT(C15)=TRUE,C15&lt;0))</formula>
    </cfRule>
    <cfRule type="expression" dxfId="91" priority="6">
      <formula>AND(C10="User Input",OR(ISBLANK(C12)=TRUE,ISTEXT(C12)=TRUE,C12&lt;0))</formula>
    </cfRule>
  </conditionalFormatting>
  <conditionalFormatting sqref="C23:G23 C27:G27 C47:G47 C51:G51">
    <cfRule type="expression" dxfId="90" priority="3">
      <formula>AND(C20="User Input",OR(ISBLANK(C22)=TRUE,ISTEXT(C22)=TRUE,C22&lt;0))</formula>
    </cfRule>
  </conditionalFormatting>
  <conditionalFormatting sqref="C42">
    <cfRule type="expression" dxfId="89" priority="2">
      <formula>AND(C40="User Input",OR(ISBLANK(C42)=TRUE,ISTEXT(C42)=TRUE,C42&lt;0))</formula>
    </cfRule>
  </conditionalFormatting>
  <conditionalFormatting sqref="C53:G53 C29:G29">
    <cfRule type="expression" dxfId="88" priority="1">
      <formula>ISERROR(C29)</formula>
    </cfRule>
  </conditionalFormatting>
  <dataValidations count="2">
    <dataValidation type="list" allowBlank="1" showInputMessage="1" showErrorMessage="1" sqref="C48:G48 C40:G40 C37:G37 C34:G34 C44:G44 C24:G24 C16:G16 C13:G13 C10:G10 C20:G20">
      <formula1>"Default,User Input"</formula1>
    </dataValidation>
    <dataValidation type="list" allowBlank="1" showInputMessage="1" showErrorMessage="1" sqref="B3">
      <formula1>States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INDIRECT(VLOOKUP(B3,'D:\Windows\LTRC Phase 2\Assorted Data and Work\[areawide-non-motorized_exposure_toolv3.xlsm]MPO Lookup List'!#REF!,2,FALSE))</xm:f>
          </x14:formula1>
          <xm:sqref>B4:D4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F5" sqref="F5:H7"/>
    </sheetView>
  </sheetViews>
  <sheetFormatPr defaultRowHeight="15" x14ac:dyDescent="0.25"/>
  <cols>
    <col min="1" max="1" width="37.42578125" bestFit="1" customWidth="1"/>
    <col min="2" max="2" width="16.42578125" bestFit="1" customWidth="1"/>
    <col min="3" max="7" width="15.42578125" customWidth="1"/>
    <col min="8" max="10" width="14.5703125" customWidth="1"/>
  </cols>
  <sheetData>
    <row r="1" spans="1:12" x14ac:dyDescent="0.25">
      <c r="A1" s="1" t="s">
        <v>59</v>
      </c>
      <c r="B1" s="1"/>
    </row>
    <row r="3" spans="1:12" x14ac:dyDescent="0.25">
      <c r="A3" s="2" t="s">
        <v>1</v>
      </c>
      <c r="B3" s="115" t="s">
        <v>2</v>
      </c>
      <c r="C3" s="115"/>
      <c r="D3" s="115"/>
    </row>
    <row r="4" spans="1:12" ht="40.15" customHeight="1" x14ac:dyDescent="0.25">
      <c r="A4" s="4" t="s">
        <v>60</v>
      </c>
      <c r="B4" s="131" t="s">
        <v>50</v>
      </c>
      <c r="C4" s="132"/>
      <c r="D4" s="132"/>
      <c r="F4" s="56"/>
      <c r="J4" s="3"/>
      <c r="K4" s="3"/>
      <c r="L4" s="3"/>
    </row>
    <row r="5" spans="1:12" ht="15.75" customHeight="1" x14ac:dyDescent="0.25">
      <c r="F5" s="3"/>
      <c r="G5" s="3"/>
      <c r="H5" s="3"/>
    </row>
    <row r="6" spans="1:12" ht="15.75" customHeight="1" x14ac:dyDescent="0.25">
      <c r="F6" s="3"/>
      <c r="G6" s="3"/>
      <c r="H6" s="3"/>
    </row>
    <row r="7" spans="1:12" ht="15.75" customHeight="1" thickBot="1" x14ac:dyDescent="0.3">
      <c r="F7" s="3"/>
      <c r="G7" s="3"/>
      <c r="H7" s="3"/>
      <c r="I7" s="3"/>
      <c r="J7" s="3"/>
      <c r="K7" s="3"/>
      <c r="L7" s="3"/>
    </row>
    <row r="8" spans="1:12" ht="15.75" thickTop="1" x14ac:dyDescent="0.25">
      <c r="A8" s="116"/>
      <c r="B8" s="117"/>
      <c r="C8" s="85" t="s">
        <v>3</v>
      </c>
      <c r="D8" s="86"/>
      <c r="E8" s="86"/>
      <c r="F8" s="86"/>
      <c r="G8" s="87"/>
    </row>
    <row r="9" spans="1:12" ht="15.75" thickBot="1" x14ac:dyDescent="0.3">
      <c r="A9" s="118"/>
      <c r="B9" s="119"/>
      <c r="C9" s="6">
        <v>2013</v>
      </c>
      <c r="D9" s="7">
        <v>2014</v>
      </c>
      <c r="E9" s="7">
        <v>2015</v>
      </c>
      <c r="F9" s="7">
        <v>2016</v>
      </c>
      <c r="G9" s="8">
        <v>2017</v>
      </c>
    </row>
    <row r="10" spans="1:12" ht="15.75" thickTop="1" x14ac:dyDescent="0.25">
      <c r="A10" s="130" t="s">
        <v>4</v>
      </c>
      <c r="B10" s="9" t="s">
        <v>5</v>
      </c>
      <c r="C10" s="10" t="s">
        <v>6</v>
      </c>
      <c r="D10" s="11" t="s">
        <v>6</v>
      </c>
      <c r="E10" s="11" t="s">
        <v>6</v>
      </c>
      <c r="F10" s="11" t="s">
        <v>6</v>
      </c>
      <c r="G10" s="12" t="s">
        <v>6</v>
      </c>
    </row>
    <row r="11" spans="1:12" x14ac:dyDescent="0.25">
      <c r="A11" s="112"/>
      <c r="B11" s="13" t="s">
        <v>7</v>
      </c>
      <c r="C11" s="14">
        <f>0.3613</f>
        <v>0.36130000000000001</v>
      </c>
      <c r="D11" s="14">
        <f t="shared" ref="D11:G11" si="0">0.3613</f>
        <v>0.36130000000000001</v>
      </c>
      <c r="E11" s="14">
        <f t="shared" si="0"/>
        <v>0.36130000000000001</v>
      </c>
      <c r="F11" s="14">
        <f t="shared" si="0"/>
        <v>0.36130000000000001</v>
      </c>
      <c r="G11" s="14">
        <f t="shared" si="0"/>
        <v>0.36130000000000001</v>
      </c>
    </row>
    <row r="12" spans="1:12" ht="15.75" thickBot="1" x14ac:dyDescent="0.3">
      <c r="A12" s="114"/>
      <c r="B12" s="16" t="s">
        <v>8</v>
      </c>
      <c r="C12" s="17"/>
      <c r="D12" s="17"/>
      <c r="E12" s="17"/>
      <c r="F12" s="17"/>
      <c r="G12" s="18"/>
    </row>
    <row r="13" spans="1:12" x14ac:dyDescent="0.25">
      <c r="A13" s="111" t="s">
        <v>61</v>
      </c>
      <c r="B13" s="19" t="s">
        <v>5</v>
      </c>
      <c r="C13" s="20" t="s">
        <v>6</v>
      </c>
      <c r="D13" s="21" t="s">
        <v>6</v>
      </c>
      <c r="E13" s="21" t="s">
        <v>6</v>
      </c>
      <c r="F13" s="21" t="s">
        <v>6</v>
      </c>
      <c r="G13" s="22" t="s">
        <v>6</v>
      </c>
    </row>
    <row r="14" spans="1:12" x14ac:dyDescent="0.25">
      <c r="A14" s="112"/>
      <c r="B14" s="13" t="s">
        <v>7</v>
      </c>
      <c r="C14" s="23">
        <f>664479</f>
        <v>664479</v>
      </c>
      <c r="D14" s="23">
        <f>670600</f>
        <v>670600</v>
      </c>
      <c r="E14" s="23">
        <f>675900</f>
        <v>675900</v>
      </c>
      <c r="F14" s="23">
        <v>681069</v>
      </c>
      <c r="G14" s="24">
        <v>686091</v>
      </c>
    </row>
    <row r="15" spans="1:12" ht="15.75" thickBot="1" x14ac:dyDescent="0.3">
      <c r="A15" s="114"/>
      <c r="B15" s="16" t="s">
        <v>8</v>
      </c>
      <c r="C15" s="17"/>
      <c r="D15" s="17"/>
      <c r="E15" s="17"/>
      <c r="F15" s="17"/>
      <c r="G15" s="18"/>
    </row>
    <row r="16" spans="1:12" x14ac:dyDescent="0.25">
      <c r="A16" s="111" t="s">
        <v>62</v>
      </c>
      <c r="B16" s="19" t="s">
        <v>5</v>
      </c>
      <c r="C16" s="20" t="s">
        <v>6</v>
      </c>
      <c r="D16" s="21" t="s">
        <v>6</v>
      </c>
      <c r="E16" s="21" t="s">
        <v>6</v>
      </c>
      <c r="F16" s="21" t="s">
        <v>6</v>
      </c>
      <c r="G16" s="22" t="s">
        <v>6</v>
      </c>
    </row>
    <row r="17" spans="1:7" x14ac:dyDescent="0.25">
      <c r="A17" s="112"/>
      <c r="B17" s="13" t="s">
        <v>7</v>
      </c>
      <c r="C17" s="14">
        <f>1.14484</f>
        <v>1.1448400000000001</v>
      </c>
      <c r="D17" s="14">
        <f>1.11069</f>
        <v>1.11069</v>
      </c>
      <c r="E17" s="14">
        <v>1.1501999999999999</v>
      </c>
      <c r="F17" s="14">
        <v>1</v>
      </c>
      <c r="G17" s="15">
        <v>0.88482000000000005</v>
      </c>
    </row>
    <row r="18" spans="1:7" ht="15.75" thickBot="1" x14ac:dyDescent="0.3">
      <c r="A18" s="113"/>
      <c r="B18" s="16" t="s">
        <v>8</v>
      </c>
      <c r="C18" s="17"/>
      <c r="D18" s="17"/>
      <c r="E18" s="17"/>
      <c r="F18" s="17"/>
      <c r="G18" s="18"/>
    </row>
    <row r="19" spans="1:7" ht="15.75" thickBot="1" x14ac:dyDescent="0.3">
      <c r="A19" s="109" t="s">
        <v>11</v>
      </c>
      <c r="B19" s="110"/>
      <c r="C19" s="25">
        <v>100319851.63515584</v>
      </c>
      <c r="D19" s="26">
        <v>98223914.244393006</v>
      </c>
      <c r="E19" s="26">
        <v>102521897.52741</v>
      </c>
      <c r="F19" s="26">
        <v>89815633.840499997</v>
      </c>
      <c r="G19" s="27">
        <v>80056662.184493199</v>
      </c>
    </row>
    <row r="20" spans="1:7" x14ac:dyDescent="0.25">
      <c r="A20" s="111" t="s">
        <v>12</v>
      </c>
      <c r="B20" s="19" t="s">
        <v>5</v>
      </c>
      <c r="C20" s="20" t="s">
        <v>6</v>
      </c>
      <c r="D20" s="21" t="s">
        <v>6</v>
      </c>
      <c r="E20" s="21" t="s">
        <v>6</v>
      </c>
      <c r="F20" s="21" t="s">
        <v>6</v>
      </c>
      <c r="G20" s="22" t="s">
        <v>6</v>
      </c>
    </row>
    <row r="21" spans="1:7" x14ac:dyDescent="0.25">
      <c r="A21" s="112"/>
      <c r="B21" s="13" t="s">
        <v>7</v>
      </c>
      <c r="C21" s="14">
        <f>0.83997</f>
        <v>0.83996999999999999</v>
      </c>
      <c r="D21" s="14">
        <f t="shared" ref="D21:G21" si="1">0.83997</f>
        <v>0.83996999999999999</v>
      </c>
      <c r="E21" s="14">
        <f t="shared" si="1"/>
        <v>0.83996999999999999</v>
      </c>
      <c r="F21" s="14">
        <f t="shared" si="1"/>
        <v>0.83996999999999999</v>
      </c>
      <c r="G21" s="14">
        <f t="shared" si="1"/>
        <v>0.83996999999999999</v>
      </c>
    </row>
    <row r="22" spans="1:7" ht="15.75" thickBot="1" x14ac:dyDescent="0.3">
      <c r="A22" s="113"/>
      <c r="B22" s="16" t="s">
        <v>8</v>
      </c>
      <c r="C22" s="17"/>
      <c r="D22" s="17"/>
      <c r="E22" s="17"/>
      <c r="F22" s="17"/>
      <c r="G22" s="18"/>
    </row>
    <row r="23" spans="1:7" ht="15.75" thickBot="1" x14ac:dyDescent="0.3">
      <c r="A23" s="109" t="s">
        <v>13</v>
      </c>
      <c r="B23" s="110"/>
      <c r="C23" s="25">
        <v>84265665.777981848</v>
      </c>
      <c r="D23" s="26">
        <v>82505141.247862786</v>
      </c>
      <c r="E23" s="26">
        <v>86115318.266098574</v>
      </c>
      <c r="F23" s="26">
        <v>75442437.957004786</v>
      </c>
      <c r="G23" s="27">
        <v>67245194.535108745</v>
      </c>
    </row>
    <row r="24" spans="1:7" x14ac:dyDescent="0.25">
      <c r="A24" s="111" t="s">
        <v>14</v>
      </c>
      <c r="B24" s="19" t="s">
        <v>5</v>
      </c>
      <c r="C24" s="20" t="s">
        <v>6</v>
      </c>
      <c r="D24" s="21" t="s">
        <v>6</v>
      </c>
      <c r="E24" s="21" t="s">
        <v>6</v>
      </c>
      <c r="F24" s="21" t="s">
        <v>6</v>
      </c>
      <c r="G24" s="22" t="s">
        <v>6</v>
      </c>
    </row>
    <row r="25" spans="1:7" x14ac:dyDescent="0.25">
      <c r="A25" s="112"/>
      <c r="B25" s="13" t="s">
        <v>7</v>
      </c>
      <c r="C25" s="14">
        <f>17.23612</f>
        <v>17.23612</v>
      </c>
      <c r="D25" s="14">
        <f t="shared" ref="D25:G25" si="2">17.23612</f>
        <v>17.23612</v>
      </c>
      <c r="E25" s="14">
        <f t="shared" si="2"/>
        <v>17.23612</v>
      </c>
      <c r="F25" s="14">
        <f t="shared" si="2"/>
        <v>17.23612</v>
      </c>
      <c r="G25" s="14">
        <f t="shared" si="2"/>
        <v>17.23612</v>
      </c>
    </row>
    <row r="26" spans="1:7" ht="15.75" thickBot="1" x14ac:dyDescent="0.3">
      <c r="A26" s="114"/>
      <c r="B26" s="16" t="s">
        <v>8</v>
      </c>
      <c r="C26" s="28"/>
      <c r="D26" s="29"/>
      <c r="E26" s="29"/>
      <c r="F26" s="29"/>
      <c r="G26" s="30"/>
    </row>
    <row r="27" spans="1:7" ht="15.75" thickBot="1" x14ac:dyDescent="0.3">
      <c r="A27" s="109" t="s">
        <v>15</v>
      </c>
      <c r="B27" s="110"/>
      <c r="C27" s="31">
        <v>28818750.019429039</v>
      </c>
      <c r="D27" s="32">
        <v>28216652.879767787</v>
      </c>
      <c r="E27" s="32">
        <v>29451328.8068357</v>
      </c>
      <c r="F27" s="32">
        <v>25801217.379181981</v>
      </c>
      <c r="G27" s="33">
        <v>22997770.603523117</v>
      </c>
    </row>
    <row r="28" spans="1:7" x14ac:dyDescent="0.25">
      <c r="A28" s="98" t="s">
        <v>16</v>
      </c>
      <c r="B28" s="99"/>
      <c r="C28" s="34">
        <v>15</v>
      </c>
      <c r="D28" s="35">
        <v>16</v>
      </c>
      <c r="E28" s="35">
        <v>11</v>
      </c>
      <c r="F28" s="35">
        <v>25</v>
      </c>
      <c r="G28" s="36">
        <v>18</v>
      </c>
    </row>
    <row r="29" spans="1:7" ht="15.75" thickBot="1" x14ac:dyDescent="0.3">
      <c r="A29" s="100" t="s">
        <v>17</v>
      </c>
      <c r="B29" s="101"/>
      <c r="C29" s="37">
        <f>C28/(C27/1000000)</f>
        <v>0.52049446939535171</v>
      </c>
      <c r="D29" s="38">
        <f t="shared" ref="D29:G29" si="3">D28/(D27/1000000)</f>
        <v>0.56704103311532372</v>
      </c>
      <c r="E29" s="38">
        <f t="shared" si="3"/>
        <v>0.37349757873902389</v>
      </c>
      <c r="F29" s="38">
        <f t="shared" si="3"/>
        <v>0.96894652808791681</v>
      </c>
      <c r="G29" s="39">
        <f t="shared" si="3"/>
        <v>0.78268456148712573</v>
      </c>
    </row>
    <row r="30" spans="1:7" ht="15.75" thickTop="1" x14ac:dyDescent="0.25"/>
    <row r="31" spans="1:7" ht="15.75" thickBot="1" x14ac:dyDescent="0.3"/>
    <row r="32" spans="1:7" ht="15.75" thickTop="1" x14ac:dyDescent="0.25">
      <c r="A32" s="102"/>
      <c r="B32" s="103"/>
      <c r="C32" s="85" t="s">
        <v>18</v>
      </c>
      <c r="D32" s="86"/>
      <c r="E32" s="86"/>
      <c r="F32" s="86"/>
      <c r="G32" s="87"/>
    </row>
    <row r="33" spans="1:7" ht="15.75" thickBot="1" x14ac:dyDescent="0.3">
      <c r="A33" s="104"/>
      <c r="B33" s="105"/>
      <c r="C33" s="40">
        <v>2013</v>
      </c>
      <c r="D33" s="41">
        <v>2014</v>
      </c>
      <c r="E33" s="41">
        <v>2015</v>
      </c>
      <c r="F33" s="41">
        <v>2016</v>
      </c>
      <c r="G33" s="42">
        <v>2017</v>
      </c>
    </row>
    <row r="34" spans="1:7" ht="15.75" thickTop="1" x14ac:dyDescent="0.25">
      <c r="A34" s="88" t="s">
        <v>4</v>
      </c>
      <c r="B34" s="43" t="s">
        <v>5</v>
      </c>
      <c r="C34" s="10" t="s">
        <v>6</v>
      </c>
      <c r="D34" s="11" t="s">
        <v>6</v>
      </c>
      <c r="E34" s="11" t="s">
        <v>6</v>
      </c>
      <c r="F34" s="11" t="s">
        <v>6</v>
      </c>
      <c r="G34" s="12" t="s">
        <v>6</v>
      </c>
    </row>
    <row r="35" spans="1:7" x14ac:dyDescent="0.25">
      <c r="A35" s="89"/>
      <c r="B35" s="44" t="s">
        <v>7</v>
      </c>
      <c r="C35" s="14">
        <f>0.02197</f>
        <v>2.197E-2</v>
      </c>
      <c r="D35" s="14">
        <f t="shared" ref="D35:G35" si="4">0.02197</f>
        <v>2.197E-2</v>
      </c>
      <c r="E35" s="14">
        <f t="shared" si="4"/>
        <v>2.197E-2</v>
      </c>
      <c r="F35" s="14">
        <f t="shared" si="4"/>
        <v>2.197E-2</v>
      </c>
      <c r="G35" s="14">
        <f t="shared" si="4"/>
        <v>2.197E-2</v>
      </c>
    </row>
    <row r="36" spans="1:7" ht="15.75" thickBot="1" x14ac:dyDescent="0.3">
      <c r="A36" s="90"/>
      <c r="B36" s="45" t="s">
        <v>8</v>
      </c>
      <c r="C36" s="28"/>
      <c r="D36" s="29"/>
      <c r="E36" s="29"/>
      <c r="F36" s="29"/>
      <c r="G36" s="30"/>
    </row>
    <row r="37" spans="1:7" x14ac:dyDescent="0.25">
      <c r="A37" s="94" t="s">
        <v>61</v>
      </c>
      <c r="B37" s="46" t="s">
        <v>5</v>
      </c>
      <c r="C37" s="20" t="s">
        <v>6</v>
      </c>
      <c r="D37" s="21" t="s">
        <v>6</v>
      </c>
      <c r="E37" s="21" t="s">
        <v>6</v>
      </c>
      <c r="F37" s="21" t="s">
        <v>6</v>
      </c>
      <c r="G37" s="22" t="s">
        <v>6</v>
      </c>
    </row>
    <row r="38" spans="1:7" x14ac:dyDescent="0.25">
      <c r="A38" s="89"/>
      <c r="B38" s="44" t="s">
        <v>7</v>
      </c>
      <c r="C38" s="23">
        <v>664479</v>
      </c>
      <c r="D38" s="23">
        <v>670600</v>
      </c>
      <c r="E38" s="23">
        <v>675900</v>
      </c>
      <c r="F38" s="23">
        <v>681069</v>
      </c>
      <c r="G38" s="24">
        <v>686091</v>
      </c>
    </row>
    <row r="39" spans="1:7" ht="15.75" thickBot="1" x14ac:dyDescent="0.3">
      <c r="A39" s="90"/>
      <c r="B39" s="45" t="s">
        <v>8</v>
      </c>
      <c r="C39" s="28"/>
      <c r="D39" s="29"/>
      <c r="E39" s="29"/>
      <c r="F39" s="29"/>
      <c r="G39" s="30"/>
    </row>
    <row r="40" spans="1:7" x14ac:dyDescent="0.25">
      <c r="A40" s="94" t="s">
        <v>63</v>
      </c>
      <c r="B40" s="46" t="s">
        <v>5</v>
      </c>
      <c r="C40" s="20" t="s">
        <v>6</v>
      </c>
      <c r="D40" s="21" t="s">
        <v>6</v>
      </c>
      <c r="E40" s="21" t="s">
        <v>6</v>
      </c>
      <c r="F40" s="21" t="s">
        <v>6</v>
      </c>
      <c r="G40" s="22" t="s">
        <v>6</v>
      </c>
    </row>
    <row r="41" spans="1:7" x14ac:dyDescent="0.25">
      <c r="A41" s="89"/>
      <c r="B41" s="44" t="s">
        <v>7</v>
      </c>
      <c r="C41" s="14">
        <f>1.16584</f>
        <v>1.16584</v>
      </c>
      <c r="D41" s="14">
        <f>1.0098</f>
        <v>1.0098</v>
      </c>
      <c r="E41" s="14">
        <f>1.03102</f>
        <v>1.03102</v>
      </c>
      <c r="F41" s="14">
        <v>1</v>
      </c>
      <c r="G41" s="15">
        <v>1.06382</v>
      </c>
    </row>
    <row r="42" spans="1:7" ht="15.75" thickBot="1" x14ac:dyDescent="0.3">
      <c r="A42" s="95"/>
      <c r="B42" s="45" t="s">
        <v>8</v>
      </c>
      <c r="C42" s="28"/>
      <c r="D42" s="29"/>
      <c r="E42" s="29"/>
      <c r="F42" s="29"/>
      <c r="G42" s="30"/>
    </row>
    <row r="43" spans="1:7" ht="15.75" thickBot="1" x14ac:dyDescent="0.3">
      <c r="A43" s="96" t="s">
        <v>19</v>
      </c>
      <c r="B43" s="97"/>
      <c r="C43" s="31">
        <v>6212167.1604397083</v>
      </c>
      <c r="D43" s="32">
        <v>5430275.1643139999</v>
      </c>
      <c r="E43" s="32">
        <v>5588206.6492628995</v>
      </c>
      <c r="F43" s="32">
        <v>5461526.3644499993</v>
      </c>
      <c r="G43" s="33">
        <v>5852922.7840511603</v>
      </c>
    </row>
    <row r="44" spans="1:7" x14ac:dyDescent="0.25">
      <c r="A44" s="94" t="s">
        <v>12</v>
      </c>
      <c r="B44" s="46" t="s">
        <v>5</v>
      </c>
      <c r="C44" s="20" t="s">
        <v>6</v>
      </c>
      <c r="D44" s="21" t="s">
        <v>6</v>
      </c>
      <c r="E44" s="21" t="s">
        <v>6</v>
      </c>
      <c r="F44" s="21" t="s">
        <v>6</v>
      </c>
      <c r="G44" s="22" t="s">
        <v>6</v>
      </c>
    </row>
    <row r="45" spans="1:7" x14ac:dyDescent="0.25">
      <c r="A45" s="89"/>
      <c r="B45" s="44" t="s">
        <v>7</v>
      </c>
      <c r="C45" s="14">
        <f>2.80101</f>
        <v>2.8010100000000002</v>
      </c>
      <c r="D45" s="14">
        <f t="shared" ref="D45:G45" si="5">2.80101</f>
        <v>2.8010100000000002</v>
      </c>
      <c r="E45" s="14">
        <f t="shared" si="5"/>
        <v>2.8010100000000002</v>
      </c>
      <c r="F45" s="14">
        <f t="shared" si="5"/>
        <v>2.8010100000000002</v>
      </c>
      <c r="G45" s="14">
        <f t="shared" si="5"/>
        <v>2.8010100000000002</v>
      </c>
    </row>
    <row r="46" spans="1:7" ht="15.75" thickBot="1" x14ac:dyDescent="0.3">
      <c r="A46" s="95"/>
      <c r="B46" s="45" t="s">
        <v>8</v>
      </c>
      <c r="C46" s="28"/>
      <c r="D46" s="29"/>
      <c r="E46" s="29"/>
      <c r="F46" s="29"/>
      <c r="G46" s="30"/>
    </row>
    <row r="47" spans="1:7" ht="15.75" thickBot="1" x14ac:dyDescent="0.3">
      <c r="A47" s="96" t="s">
        <v>20</v>
      </c>
      <c r="B47" s="97"/>
      <c r="C47" s="31">
        <v>17400342.338063229</v>
      </c>
      <c r="D47" s="32">
        <v>15210255.037995158</v>
      </c>
      <c r="E47" s="32">
        <v>15652622.706651876</v>
      </c>
      <c r="F47" s="32">
        <v>15297789.962088093</v>
      </c>
      <c r="G47" s="33">
        <v>16394095.247355143</v>
      </c>
    </row>
    <row r="48" spans="1:7" x14ac:dyDescent="0.25">
      <c r="A48" s="94" t="s">
        <v>14</v>
      </c>
      <c r="B48" s="46" t="s">
        <v>5</v>
      </c>
      <c r="C48" s="20" t="s">
        <v>6</v>
      </c>
      <c r="D48" s="21" t="s">
        <v>6</v>
      </c>
      <c r="E48" s="21" t="s">
        <v>6</v>
      </c>
      <c r="F48" s="21" t="s">
        <v>6</v>
      </c>
      <c r="G48" s="22" t="s">
        <v>6</v>
      </c>
    </row>
    <row r="49" spans="1:7" x14ac:dyDescent="0.25">
      <c r="A49" s="89"/>
      <c r="B49" s="44" t="s">
        <v>7</v>
      </c>
      <c r="C49" s="14">
        <f>24.61017</f>
        <v>24.61017</v>
      </c>
      <c r="D49" s="14">
        <f t="shared" ref="D49:G49" si="6">24.61017</f>
        <v>24.61017</v>
      </c>
      <c r="E49" s="14">
        <f t="shared" si="6"/>
        <v>24.61017</v>
      </c>
      <c r="F49" s="14">
        <f t="shared" si="6"/>
        <v>24.61017</v>
      </c>
      <c r="G49" s="14">
        <f t="shared" si="6"/>
        <v>24.61017</v>
      </c>
    </row>
    <row r="50" spans="1:7" ht="15.75" thickBot="1" x14ac:dyDescent="0.3">
      <c r="A50" s="90"/>
      <c r="B50" s="45" t="s">
        <v>8</v>
      </c>
      <c r="C50" s="28"/>
      <c r="D50" s="29"/>
      <c r="E50" s="29"/>
      <c r="F50" s="29"/>
      <c r="G50" s="30"/>
    </row>
    <row r="51" spans="1:7" ht="15.75" thickBot="1" x14ac:dyDescent="0.3">
      <c r="A51" s="96" t="s">
        <v>21</v>
      </c>
      <c r="B51" s="97"/>
      <c r="C51" s="31">
        <v>17400342.338063229</v>
      </c>
      <c r="D51" s="32">
        <v>15210255.037995158</v>
      </c>
      <c r="E51" s="32">
        <v>15652622.706651876</v>
      </c>
      <c r="F51" s="32">
        <v>15297789.962088093</v>
      </c>
      <c r="G51" s="33">
        <v>16394095.247355143</v>
      </c>
    </row>
    <row r="52" spans="1:7" x14ac:dyDescent="0.25">
      <c r="A52" s="77" t="s">
        <v>16</v>
      </c>
      <c r="B52" s="78"/>
      <c r="C52" s="34">
        <v>0</v>
      </c>
      <c r="D52" s="35">
        <v>1</v>
      </c>
      <c r="E52" s="35">
        <v>6</v>
      </c>
      <c r="F52" s="35">
        <v>4</v>
      </c>
      <c r="G52" s="36">
        <v>4</v>
      </c>
    </row>
    <row r="53" spans="1:7" ht="15.75" thickBot="1" x14ac:dyDescent="0.3">
      <c r="A53" s="79" t="s">
        <v>17</v>
      </c>
      <c r="B53" s="80"/>
      <c r="C53" s="37">
        <f>C52/(C51/1000000)</f>
        <v>0</v>
      </c>
      <c r="D53" s="38">
        <f t="shared" ref="D53:G53" si="7">D52/(D51/1000000)</f>
        <v>6.5745117192447064E-2</v>
      </c>
      <c r="E53" s="38">
        <f t="shared" si="7"/>
        <v>0.38332234236056728</v>
      </c>
      <c r="F53" s="38">
        <f t="shared" si="7"/>
        <v>0.26147567785366654</v>
      </c>
      <c r="G53" s="39">
        <f t="shared" si="7"/>
        <v>0.24399028672505238</v>
      </c>
    </row>
    <row r="54" spans="1:7" ht="15.75" thickTop="1" x14ac:dyDescent="0.25"/>
    <row r="55" spans="1:7" ht="15.75" thickBot="1" x14ac:dyDescent="0.3"/>
    <row r="56" spans="1:7" ht="15.75" thickTop="1" x14ac:dyDescent="0.25">
      <c r="A56" s="81"/>
      <c r="B56" s="82"/>
      <c r="C56" s="85" t="s">
        <v>22</v>
      </c>
      <c r="D56" s="86"/>
      <c r="E56" s="86"/>
      <c r="F56" s="86"/>
      <c r="G56" s="87"/>
    </row>
    <row r="57" spans="1:7" ht="15.75" thickBot="1" x14ac:dyDescent="0.3">
      <c r="A57" s="83"/>
      <c r="B57" s="84"/>
      <c r="C57" s="6">
        <v>2013</v>
      </c>
      <c r="D57" s="7">
        <v>2014</v>
      </c>
      <c r="E57" s="7">
        <v>2015</v>
      </c>
      <c r="F57" s="7">
        <v>2016</v>
      </c>
      <c r="G57" s="8">
        <v>2017</v>
      </c>
    </row>
    <row r="58" spans="1:7" x14ac:dyDescent="0.25">
      <c r="A58" s="91" t="s">
        <v>23</v>
      </c>
      <c r="B58" s="92"/>
      <c r="C58" s="47">
        <v>106532018.79559556</v>
      </c>
      <c r="D58" s="48">
        <v>103654189.40870701</v>
      </c>
      <c r="E58" s="48">
        <v>108110104.17667291</v>
      </c>
      <c r="F58" s="48">
        <v>95277160.20494999</v>
      </c>
      <c r="G58" s="49">
        <v>85909584.968544364</v>
      </c>
    </row>
    <row r="59" spans="1:7" x14ac:dyDescent="0.25">
      <c r="A59" s="93" t="s">
        <v>24</v>
      </c>
      <c r="B59" s="74"/>
      <c r="C59" s="50">
        <v>101666008.11604507</v>
      </c>
      <c r="D59" s="51">
        <v>97715396.285857946</v>
      </c>
      <c r="E59" s="51">
        <v>101767940.97275046</v>
      </c>
      <c r="F59" s="51">
        <v>90740227.919092879</v>
      </c>
      <c r="G59" s="52">
        <v>83639289.782463893</v>
      </c>
    </row>
    <row r="60" spans="1:7" x14ac:dyDescent="0.25">
      <c r="A60" s="73" t="s">
        <v>25</v>
      </c>
      <c r="B60" s="74"/>
      <c r="C60" s="50">
        <v>46219092.357492268</v>
      </c>
      <c r="D60" s="51">
        <v>43426907.917762943</v>
      </c>
      <c r="E60" s="51">
        <v>45103951.513487577</v>
      </c>
      <c r="F60" s="51">
        <v>41099007.341270074</v>
      </c>
      <c r="G60" s="52">
        <v>39391865.850878261</v>
      </c>
    </row>
    <row r="61" spans="1:7" x14ac:dyDescent="0.25">
      <c r="A61" s="73" t="s">
        <v>26</v>
      </c>
      <c r="B61" s="74"/>
      <c r="C61" s="53">
        <v>15</v>
      </c>
      <c r="D61" s="54">
        <v>17</v>
      </c>
      <c r="E61" s="54">
        <v>17</v>
      </c>
      <c r="F61" s="54">
        <v>29</v>
      </c>
      <c r="G61" s="55">
        <v>22</v>
      </c>
    </row>
    <row r="62" spans="1:7" ht="15.75" thickBot="1" x14ac:dyDescent="0.3">
      <c r="A62" s="75" t="s">
        <v>27</v>
      </c>
      <c r="B62" s="76"/>
      <c r="C62" s="37">
        <v>0.32454120656414082</v>
      </c>
      <c r="D62" s="38">
        <v>0.39146236320100697</v>
      </c>
      <c r="E62" s="38">
        <v>0.37690710967788343</v>
      </c>
      <c r="F62" s="38">
        <v>0.70561314922268925</v>
      </c>
      <c r="G62" s="39">
        <v>0.55849093524239601</v>
      </c>
    </row>
    <row r="63" spans="1:7" ht="15.75" thickTop="1" x14ac:dyDescent="0.25"/>
  </sheetData>
  <mergeCells count="33">
    <mergeCell ref="A10:A12"/>
    <mergeCell ref="B3:D3"/>
    <mergeCell ref="B4:D4"/>
    <mergeCell ref="A8:B9"/>
    <mergeCell ref="C8:G8"/>
    <mergeCell ref="A24:A26"/>
    <mergeCell ref="A27:B27"/>
    <mergeCell ref="A28:B28"/>
    <mergeCell ref="A29:B29"/>
    <mergeCell ref="A32:B33"/>
    <mergeCell ref="A13:A15"/>
    <mergeCell ref="A16:A18"/>
    <mergeCell ref="A19:B19"/>
    <mergeCell ref="A20:A22"/>
    <mergeCell ref="A23:B23"/>
    <mergeCell ref="C32:G32"/>
    <mergeCell ref="C56:G56"/>
    <mergeCell ref="A58:B58"/>
    <mergeCell ref="A37:A39"/>
    <mergeCell ref="A40:A42"/>
    <mergeCell ref="A43:B43"/>
    <mergeCell ref="A44:A46"/>
    <mergeCell ref="A47:B47"/>
    <mergeCell ref="A48:A50"/>
    <mergeCell ref="A34:A36"/>
    <mergeCell ref="A59:B59"/>
    <mergeCell ref="A60:B60"/>
    <mergeCell ref="A61:B61"/>
    <mergeCell ref="A62:B62"/>
    <mergeCell ref="A51:B51"/>
    <mergeCell ref="A52:B52"/>
    <mergeCell ref="A53:B53"/>
    <mergeCell ref="A56:B57"/>
  </mergeCells>
  <conditionalFormatting sqref="C14:G14 C17:G17 C38:G38 C41:G41 C11:G11 C21:G21 C25:G25 C35:G35 C45:G45 C49:G49">
    <cfRule type="expression" dxfId="87" priority="11">
      <formula>C10="Default"</formula>
    </cfRule>
  </conditionalFormatting>
  <conditionalFormatting sqref="C12:G12 C15:G15 C18:G18 C22:G22 C26:G26 C36:G36 C39:G39 C42:G42 C46:G46">
    <cfRule type="expression" dxfId="86" priority="10">
      <formula>C10="User Input"</formula>
    </cfRule>
  </conditionalFormatting>
  <conditionalFormatting sqref="C12:G12 C15:G15 C18:G18 C22:G22 C26:G26 C36:G36 C39:G39 C42:G42 C46:G46">
    <cfRule type="expression" dxfId="85" priority="9">
      <formula>AND(C10="User Input",OR(ISBLANK(C12)=TRUE,ISTEXT(C12)=TRUE,C12&lt;0))</formula>
    </cfRule>
  </conditionalFormatting>
  <conditionalFormatting sqref="C50:G50">
    <cfRule type="expression" dxfId="84" priority="7">
      <formula>AND(C48="User Input",OR(ISBLANK(C50)=TRUE,ISTEXT(C50)=TRUE,C50&lt;0))</formula>
    </cfRule>
    <cfRule type="expression" dxfId="83" priority="8">
      <formula>C48="User Input"</formula>
    </cfRule>
  </conditionalFormatting>
  <conditionalFormatting sqref="C19:G19 C43:G43">
    <cfRule type="expression" dxfId="82" priority="4">
      <formula>AND(C16="User Input",OR(ISBLANK(C18)=TRUE,ISTEXT(C18)=TRUE,C18&lt;0))</formula>
    </cfRule>
    <cfRule type="expression" dxfId="81" priority="5">
      <formula>AND(C13="User Input",OR(ISBLANK(C15)=TRUE,ISTEXT(C15)=TRUE,C15&lt;0))</formula>
    </cfRule>
    <cfRule type="expression" dxfId="80" priority="6">
      <formula>AND(C10="User Input",OR(ISBLANK(C12)=TRUE,ISTEXT(C12)=TRUE,C12&lt;0))</formula>
    </cfRule>
  </conditionalFormatting>
  <conditionalFormatting sqref="C23:G23 C27:G27 C47:G47 C51:G51">
    <cfRule type="expression" dxfId="79" priority="3">
      <formula>AND(C20="User Input",OR(ISBLANK(C22)=TRUE,ISTEXT(C22)=TRUE,C22&lt;0))</formula>
    </cfRule>
  </conditionalFormatting>
  <conditionalFormatting sqref="C42">
    <cfRule type="expression" dxfId="78" priority="2">
      <formula>AND(C40="User Input",OR(ISBLANK(C42)=TRUE,ISTEXT(C42)=TRUE,C42&lt;0))</formula>
    </cfRule>
  </conditionalFormatting>
  <conditionalFormatting sqref="C53:G53 C29:G29">
    <cfRule type="expression" dxfId="77" priority="1">
      <formula>ISERROR(C29)</formula>
    </cfRule>
  </conditionalFormatting>
  <dataValidations count="2">
    <dataValidation type="list" allowBlank="1" showInputMessage="1" showErrorMessage="1" sqref="C48:G48 C40:G40 C37:G37 C34:G34 C44:G44 C24:G24 C16:G16 C13:G13 C10:G10 C20:G20">
      <formula1>"Default,User Input"</formula1>
    </dataValidation>
    <dataValidation type="list" allowBlank="1" showInputMessage="1" showErrorMessage="1" sqref="B3">
      <formula1>States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INDIRECT(VLOOKUP(B3,'D:\Windows\LTRC Phase 2\Assorted Data and Work\[areawide-non-motorized_exposure_toolv3.xlsm]MPO Lookup List'!#REF!,2,FALSE))</xm:f>
          </x14:formula1>
          <xm:sqref>B4:D4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F5" sqref="F5:H7"/>
    </sheetView>
  </sheetViews>
  <sheetFormatPr defaultRowHeight="15" x14ac:dyDescent="0.25"/>
  <cols>
    <col min="1" max="1" width="37.42578125" bestFit="1" customWidth="1"/>
    <col min="2" max="2" width="16.42578125" bestFit="1" customWidth="1"/>
    <col min="3" max="7" width="15.42578125" customWidth="1"/>
    <col min="8" max="10" width="14.5703125" customWidth="1"/>
  </cols>
  <sheetData>
    <row r="1" spans="1:12" x14ac:dyDescent="0.25">
      <c r="A1" s="1" t="s">
        <v>59</v>
      </c>
      <c r="B1" s="1"/>
    </row>
    <row r="3" spans="1:12" x14ac:dyDescent="0.25">
      <c r="A3" s="2" t="s">
        <v>1</v>
      </c>
      <c r="B3" s="115" t="s">
        <v>2</v>
      </c>
      <c r="C3" s="115"/>
      <c r="D3" s="115"/>
    </row>
    <row r="4" spans="1:12" ht="40.15" customHeight="1" x14ac:dyDescent="0.25">
      <c r="A4" s="4" t="s">
        <v>60</v>
      </c>
      <c r="B4" s="131" t="s">
        <v>51</v>
      </c>
      <c r="C4" s="132"/>
      <c r="D4" s="132"/>
      <c r="F4" s="56"/>
      <c r="J4" s="3"/>
      <c r="K4" s="3"/>
      <c r="L4" s="3"/>
    </row>
    <row r="5" spans="1:12" ht="15.75" customHeight="1" x14ac:dyDescent="0.25">
      <c r="F5" s="3"/>
      <c r="G5" s="3"/>
      <c r="H5" s="3"/>
    </row>
    <row r="6" spans="1:12" ht="15.75" customHeight="1" x14ac:dyDescent="0.25">
      <c r="F6" s="3"/>
      <c r="G6" s="3"/>
      <c r="H6" s="3"/>
    </row>
    <row r="7" spans="1:12" ht="15.75" customHeight="1" thickBot="1" x14ac:dyDescent="0.3">
      <c r="F7" s="3"/>
      <c r="G7" s="3"/>
      <c r="H7" s="3"/>
      <c r="I7" s="3"/>
      <c r="J7" s="3"/>
      <c r="K7" s="3"/>
      <c r="L7" s="3"/>
    </row>
    <row r="8" spans="1:12" ht="15.75" thickTop="1" x14ac:dyDescent="0.25">
      <c r="A8" s="116"/>
      <c r="B8" s="117"/>
      <c r="C8" s="85" t="s">
        <v>3</v>
      </c>
      <c r="D8" s="86"/>
      <c r="E8" s="86"/>
      <c r="F8" s="86"/>
      <c r="G8" s="87"/>
    </row>
    <row r="9" spans="1:12" ht="15.75" thickBot="1" x14ac:dyDescent="0.3">
      <c r="A9" s="118"/>
      <c r="B9" s="119"/>
      <c r="C9" s="6">
        <v>2013</v>
      </c>
      <c r="D9" s="7">
        <v>2014</v>
      </c>
      <c r="E9" s="7">
        <v>2015</v>
      </c>
      <c r="F9" s="7">
        <v>2016</v>
      </c>
      <c r="G9" s="8">
        <v>2017</v>
      </c>
    </row>
    <row r="10" spans="1:12" ht="15.75" thickTop="1" x14ac:dyDescent="0.25">
      <c r="A10" s="130" t="s">
        <v>4</v>
      </c>
      <c r="B10" s="9" t="s">
        <v>5</v>
      </c>
      <c r="C10" s="10" t="s">
        <v>6</v>
      </c>
      <c r="D10" s="11" t="s">
        <v>6</v>
      </c>
      <c r="E10" s="11" t="s">
        <v>6</v>
      </c>
      <c r="F10" s="11" t="s">
        <v>6</v>
      </c>
      <c r="G10" s="12" t="s">
        <v>6</v>
      </c>
    </row>
    <row r="11" spans="1:12" x14ac:dyDescent="0.25">
      <c r="A11" s="112"/>
      <c r="B11" s="13" t="s">
        <v>7</v>
      </c>
      <c r="C11" s="14">
        <f>0.28839</f>
        <v>0.28838999999999998</v>
      </c>
      <c r="D11" s="14">
        <f t="shared" ref="D11:G11" si="0">0.28839</f>
        <v>0.28838999999999998</v>
      </c>
      <c r="E11" s="14">
        <f t="shared" si="0"/>
        <v>0.28838999999999998</v>
      </c>
      <c r="F11" s="14">
        <f t="shared" si="0"/>
        <v>0.28838999999999998</v>
      </c>
      <c r="G11" s="14">
        <f t="shared" si="0"/>
        <v>0.28838999999999998</v>
      </c>
    </row>
    <row r="12" spans="1:12" ht="15.75" thickBot="1" x14ac:dyDescent="0.3">
      <c r="A12" s="114"/>
      <c r="B12" s="16" t="s">
        <v>8</v>
      </c>
      <c r="C12" s="17"/>
      <c r="D12" s="17"/>
      <c r="E12" s="17"/>
      <c r="F12" s="17"/>
      <c r="G12" s="18"/>
    </row>
    <row r="13" spans="1:12" x14ac:dyDescent="0.25">
      <c r="A13" s="111" t="s">
        <v>61</v>
      </c>
      <c r="B13" s="19" t="s">
        <v>5</v>
      </c>
      <c r="C13" s="20" t="s">
        <v>6</v>
      </c>
      <c r="D13" s="21" t="s">
        <v>6</v>
      </c>
      <c r="E13" s="21" t="s">
        <v>6</v>
      </c>
      <c r="F13" s="21" t="s">
        <v>6</v>
      </c>
      <c r="G13" s="22" t="s">
        <v>6</v>
      </c>
    </row>
    <row r="14" spans="1:12" x14ac:dyDescent="0.25">
      <c r="A14" s="112"/>
      <c r="B14" s="13" t="s">
        <v>7</v>
      </c>
      <c r="C14" s="23"/>
      <c r="D14" s="23">
        <v>102571</v>
      </c>
      <c r="E14" s="23">
        <v>103016</v>
      </c>
      <c r="F14" s="23">
        <v>103015</v>
      </c>
      <c r="G14" s="24">
        <v>103167</v>
      </c>
    </row>
    <row r="15" spans="1:12" ht="15.75" thickBot="1" x14ac:dyDescent="0.3">
      <c r="A15" s="114"/>
      <c r="B15" s="16" t="s">
        <v>8</v>
      </c>
      <c r="C15" s="17"/>
      <c r="D15" s="17"/>
      <c r="E15" s="17"/>
      <c r="F15" s="17"/>
      <c r="G15" s="18"/>
    </row>
    <row r="16" spans="1:12" x14ac:dyDescent="0.25">
      <c r="A16" s="111" t="s">
        <v>62</v>
      </c>
      <c r="B16" s="19" t="s">
        <v>5</v>
      </c>
      <c r="C16" s="20" t="s">
        <v>6</v>
      </c>
      <c r="D16" s="21" t="s">
        <v>6</v>
      </c>
      <c r="E16" s="21" t="s">
        <v>6</v>
      </c>
      <c r="F16" s="21" t="s">
        <v>6</v>
      </c>
      <c r="G16" s="22" t="s">
        <v>6</v>
      </c>
    </row>
    <row r="17" spans="1:7" x14ac:dyDescent="0.25">
      <c r="A17" s="112"/>
      <c r="B17" s="13" t="s">
        <v>7</v>
      </c>
      <c r="C17" s="14">
        <f>1.0243</f>
        <v>1.0243</v>
      </c>
      <c r="D17" s="14">
        <f>1.11139</f>
        <v>1.1113900000000001</v>
      </c>
      <c r="E17" s="14">
        <v>1.06646</v>
      </c>
      <c r="F17" s="14">
        <v>1</v>
      </c>
      <c r="G17" s="15">
        <v>1.1884999999999999</v>
      </c>
    </row>
    <row r="18" spans="1:7" ht="15.75" thickBot="1" x14ac:dyDescent="0.3">
      <c r="A18" s="113"/>
      <c r="B18" s="16" t="s">
        <v>8</v>
      </c>
      <c r="C18" s="17"/>
      <c r="D18" s="17"/>
      <c r="E18" s="17"/>
      <c r="F18" s="17"/>
      <c r="G18" s="18"/>
    </row>
    <row r="19" spans="1:7" ht="15.75" thickBot="1" x14ac:dyDescent="0.3">
      <c r="A19" s="109" t="s">
        <v>11</v>
      </c>
      <c r="B19" s="110"/>
      <c r="C19" s="25">
        <v>10894047.724384094</v>
      </c>
      <c r="D19" s="26">
        <v>11999527.238711072</v>
      </c>
      <c r="E19" s="26">
        <v>11564378.964815494</v>
      </c>
      <c r="F19" s="26">
        <v>10843600.98525</v>
      </c>
      <c r="G19" s="27">
        <v>12906635.625021825</v>
      </c>
    </row>
    <row r="20" spans="1:7" x14ac:dyDescent="0.25">
      <c r="A20" s="111" t="s">
        <v>12</v>
      </c>
      <c r="B20" s="19" t="s">
        <v>5</v>
      </c>
      <c r="C20" s="20" t="s">
        <v>6</v>
      </c>
      <c r="D20" s="21" t="s">
        <v>6</v>
      </c>
      <c r="E20" s="21" t="s">
        <v>6</v>
      </c>
      <c r="F20" s="21" t="s">
        <v>6</v>
      </c>
      <c r="G20" s="22" t="s">
        <v>6</v>
      </c>
    </row>
    <row r="21" spans="1:7" x14ac:dyDescent="0.25">
      <c r="A21" s="112"/>
      <c r="B21" s="13" t="s">
        <v>7</v>
      </c>
      <c r="C21" s="14">
        <f>0.88794</f>
        <v>0.88793999999999995</v>
      </c>
      <c r="D21" s="14">
        <f t="shared" ref="D21:G21" si="1">0.88794</f>
        <v>0.88793999999999995</v>
      </c>
      <c r="E21" s="14">
        <f t="shared" si="1"/>
        <v>0.88793999999999995</v>
      </c>
      <c r="F21" s="14">
        <f t="shared" si="1"/>
        <v>0.88793999999999995</v>
      </c>
      <c r="G21" s="14">
        <f t="shared" si="1"/>
        <v>0.88793999999999995</v>
      </c>
    </row>
    <row r="22" spans="1:7" ht="15.75" thickBot="1" x14ac:dyDescent="0.3">
      <c r="A22" s="113"/>
      <c r="B22" s="16" t="s">
        <v>8</v>
      </c>
      <c r="C22" s="17"/>
      <c r="D22" s="17"/>
      <c r="E22" s="17"/>
      <c r="F22" s="17"/>
      <c r="G22" s="18"/>
    </row>
    <row r="23" spans="1:7" ht="15.75" thickBot="1" x14ac:dyDescent="0.3">
      <c r="A23" s="109" t="s">
        <v>13</v>
      </c>
      <c r="B23" s="110"/>
      <c r="C23" s="25">
        <v>9673260.7363896109</v>
      </c>
      <c r="D23" s="26">
        <v>10654860.216341108</v>
      </c>
      <c r="E23" s="26">
        <v>10268474.658018269</v>
      </c>
      <c r="F23" s="26">
        <v>9628467.0588428844</v>
      </c>
      <c r="G23" s="27">
        <v>11460318.036881879</v>
      </c>
    </row>
    <row r="24" spans="1:7" x14ac:dyDescent="0.25">
      <c r="A24" s="111" t="s">
        <v>14</v>
      </c>
      <c r="B24" s="19" t="s">
        <v>5</v>
      </c>
      <c r="C24" s="20" t="s">
        <v>6</v>
      </c>
      <c r="D24" s="21" t="s">
        <v>6</v>
      </c>
      <c r="E24" s="21" t="s">
        <v>6</v>
      </c>
      <c r="F24" s="21" t="s">
        <v>6</v>
      </c>
      <c r="G24" s="22" t="s">
        <v>6</v>
      </c>
    </row>
    <row r="25" spans="1:7" x14ac:dyDescent="0.25">
      <c r="A25" s="112"/>
      <c r="B25" s="13" t="s">
        <v>7</v>
      </c>
      <c r="C25" s="14">
        <f>17.08134</f>
        <v>17.081340000000001</v>
      </c>
      <c r="D25" s="14">
        <f t="shared" ref="D25:G25" si="2">17.08134</f>
        <v>17.081340000000001</v>
      </c>
      <c r="E25" s="14">
        <f>17.08134</f>
        <v>17.081340000000001</v>
      </c>
      <c r="F25" s="14">
        <f t="shared" si="2"/>
        <v>17.081340000000001</v>
      </c>
      <c r="G25" s="14">
        <f t="shared" si="2"/>
        <v>17.081340000000001</v>
      </c>
    </row>
    <row r="26" spans="1:7" ht="15.75" thickBot="1" x14ac:dyDescent="0.3">
      <c r="A26" s="114"/>
      <c r="B26" s="16" t="s">
        <v>8</v>
      </c>
      <c r="C26" s="28"/>
      <c r="D26" s="29"/>
      <c r="E26" s="29"/>
      <c r="F26" s="29"/>
      <c r="G26" s="30"/>
    </row>
    <row r="27" spans="1:7" ht="15.75" thickBot="1" x14ac:dyDescent="0.3">
      <c r="A27" s="109" t="s">
        <v>15</v>
      </c>
      <c r="B27" s="110"/>
      <c r="C27" s="31">
        <v>3101415.5526071833</v>
      </c>
      <c r="D27" s="32">
        <v>3416133.4100614167</v>
      </c>
      <c r="E27" s="32">
        <v>3292251.4831143585</v>
      </c>
      <c r="F27" s="32">
        <v>3087053.9208898377</v>
      </c>
      <c r="G27" s="33">
        <v>3674377.1894518384</v>
      </c>
    </row>
    <row r="28" spans="1:7" x14ac:dyDescent="0.25">
      <c r="A28" s="98" t="s">
        <v>16</v>
      </c>
      <c r="B28" s="99"/>
      <c r="C28" s="34">
        <v>3</v>
      </c>
      <c r="D28" s="35">
        <v>3</v>
      </c>
      <c r="E28" s="35">
        <v>2</v>
      </c>
      <c r="F28" s="35">
        <v>5</v>
      </c>
      <c r="G28" s="36">
        <v>3</v>
      </c>
    </row>
    <row r="29" spans="1:7" ht="15.75" thickBot="1" x14ac:dyDescent="0.3">
      <c r="A29" s="100" t="s">
        <v>17</v>
      </c>
      <c r="B29" s="101"/>
      <c r="C29" s="37">
        <v>0.96730023729908454</v>
      </c>
      <c r="D29" s="38">
        <v>0.8781858434346288</v>
      </c>
      <c r="E29" s="38">
        <v>0.60748700707033099</v>
      </c>
      <c r="F29" s="38">
        <v>1.619667206382569</v>
      </c>
      <c r="G29" s="39">
        <v>0.81646489876221839</v>
      </c>
    </row>
    <row r="30" spans="1:7" ht="15.75" thickTop="1" x14ac:dyDescent="0.25"/>
    <row r="31" spans="1:7" ht="15.75" thickBot="1" x14ac:dyDescent="0.3"/>
    <row r="32" spans="1:7" ht="15.75" thickTop="1" x14ac:dyDescent="0.25">
      <c r="A32" s="102"/>
      <c r="B32" s="103"/>
      <c r="C32" s="85" t="s">
        <v>18</v>
      </c>
      <c r="D32" s="86"/>
      <c r="E32" s="86"/>
      <c r="F32" s="86"/>
      <c r="G32" s="87"/>
    </row>
    <row r="33" spans="1:7" ht="15.75" thickBot="1" x14ac:dyDescent="0.3">
      <c r="A33" s="104"/>
      <c r="B33" s="105"/>
      <c r="C33" s="40">
        <v>2013</v>
      </c>
      <c r="D33" s="41">
        <v>2014</v>
      </c>
      <c r="E33" s="41">
        <v>2015</v>
      </c>
      <c r="F33" s="41">
        <v>2016</v>
      </c>
      <c r="G33" s="42">
        <v>2017</v>
      </c>
    </row>
    <row r="34" spans="1:7" ht="15.75" thickTop="1" x14ac:dyDescent="0.25">
      <c r="A34" s="88" t="s">
        <v>4</v>
      </c>
      <c r="B34" s="43" t="s">
        <v>5</v>
      </c>
      <c r="C34" s="10" t="s">
        <v>6</v>
      </c>
      <c r="D34" s="11" t="s">
        <v>6</v>
      </c>
      <c r="E34" s="11" t="s">
        <v>6</v>
      </c>
      <c r="F34" s="11" t="s">
        <v>6</v>
      </c>
      <c r="G34" s="12" t="s">
        <v>6</v>
      </c>
    </row>
    <row r="35" spans="1:7" x14ac:dyDescent="0.25">
      <c r="A35" s="89"/>
      <c r="B35" s="44" t="s">
        <v>7</v>
      </c>
      <c r="C35" s="14">
        <f>0.03757</f>
        <v>3.7569999999999999E-2</v>
      </c>
      <c r="D35" s="14">
        <f t="shared" ref="D35:G35" si="3">0.03757</f>
        <v>3.7569999999999999E-2</v>
      </c>
      <c r="E35" s="14">
        <f t="shared" si="3"/>
        <v>3.7569999999999999E-2</v>
      </c>
      <c r="F35" s="14">
        <f t="shared" si="3"/>
        <v>3.7569999999999999E-2</v>
      </c>
      <c r="G35" s="14">
        <f t="shared" si="3"/>
        <v>3.7569999999999999E-2</v>
      </c>
    </row>
    <row r="36" spans="1:7" ht="15.75" thickBot="1" x14ac:dyDescent="0.3">
      <c r="A36" s="90"/>
      <c r="B36" s="45" t="s">
        <v>8</v>
      </c>
      <c r="C36" s="28"/>
      <c r="D36" s="29"/>
      <c r="E36" s="29"/>
      <c r="F36" s="29"/>
      <c r="G36" s="30"/>
    </row>
    <row r="37" spans="1:7" x14ac:dyDescent="0.25">
      <c r="A37" s="94" t="s">
        <v>61</v>
      </c>
      <c r="B37" s="46" t="s">
        <v>5</v>
      </c>
      <c r="C37" s="20" t="s">
        <v>6</v>
      </c>
      <c r="D37" s="21" t="s">
        <v>6</v>
      </c>
      <c r="E37" s="21" t="s">
        <v>6</v>
      </c>
      <c r="F37" s="21" t="s">
        <v>6</v>
      </c>
      <c r="G37" s="22" t="s">
        <v>6</v>
      </c>
    </row>
    <row r="38" spans="1:7" x14ac:dyDescent="0.25">
      <c r="A38" s="89"/>
      <c r="B38" s="44" t="s">
        <v>7</v>
      </c>
      <c r="C38" s="23">
        <v>101039</v>
      </c>
      <c r="D38" s="23">
        <v>102571</v>
      </c>
      <c r="E38" s="23">
        <v>103016</v>
      </c>
      <c r="F38" s="23">
        <v>103015</v>
      </c>
      <c r="G38" s="24">
        <v>103167</v>
      </c>
    </row>
    <row r="39" spans="1:7" ht="15.75" thickBot="1" x14ac:dyDescent="0.3">
      <c r="A39" s="90"/>
      <c r="B39" s="45" t="s">
        <v>8</v>
      </c>
      <c r="C39" s="28"/>
      <c r="D39" s="29"/>
      <c r="E39" s="29"/>
      <c r="F39" s="29"/>
      <c r="G39" s="30"/>
    </row>
    <row r="40" spans="1:7" x14ac:dyDescent="0.25">
      <c r="A40" s="94" t="s">
        <v>63</v>
      </c>
      <c r="B40" s="46" t="s">
        <v>5</v>
      </c>
      <c r="C40" s="20" t="s">
        <v>6</v>
      </c>
      <c r="D40" s="21" t="s">
        <v>6</v>
      </c>
      <c r="E40" s="21" t="s">
        <v>6</v>
      </c>
      <c r="F40" s="21" t="s">
        <v>6</v>
      </c>
      <c r="G40" s="22" t="s">
        <v>6</v>
      </c>
    </row>
    <row r="41" spans="1:7" x14ac:dyDescent="0.25">
      <c r="A41" s="89"/>
      <c r="B41" s="44" t="s">
        <v>7</v>
      </c>
      <c r="C41" s="14">
        <f>1.37639</f>
        <v>1.37639</v>
      </c>
      <c r="D41" s="14">
        <f>0.89213</f>
        <v>0.89212999999999998</v>
      </c>
      <c r="E41" s="14">
        <f>0.84581</f>
        <v>0.84580999999999995</v>
      </c>
      <c r="F41" s="14">
        <f>1</f>
        <v>1</v>
      </c>
      <c r="G41" s="15">
        <f>1.2308</f>
        <v>1.2307999999999999</v>
      </c>
    </row>
    <row r="42" spans="1:7" ht="15.75" thickBot="1" x14ac:dyDescent="0.3">
      <c r="A42" s="95"/>
      <c r="B42" s="45" t="s">
        <v>8</v>
      </c>
      <c r="C42" s="28"/>
      <c r="D42" s="29"/>
      <c r="E42" s="29"/>
      <c r="F42" s="29"/>
      <c r="G42" s="30"/>
    </row>
    <row r="43" spans="1:7" ht="15.75" thickBot="1" x14ac:dyDescent="0.3">
      <c r="A43" s="96" t="s">
        <v>19</v>
      </c>
      <c r="B43" s="97"/>
      <c r="C43" s="31">
        <v>1907061.0995301905</v>
      </c>
      <c r="D43" s="32">
        <v>1254774</v>
      </c>
      <c r="E43" s="32">
        <v>1194789</v>
      </c>
      <c r="F43" s="32">
        <v>1412574</v>
      </c>
      <c r="G43" s="33">
        <v>1741156</v>
      </c>
    </row>
    <row r="44" spans="1:7" x14ac:dyDescent="0.25">
      <c r="A44" s="94" t="s">
        <v>12</v>
      </c>
      <c r="B44" s="46" t="s">
        <v>5</v>
      </c>
      <c r="C44" s="20" t="s">
        <v>6</v>
      </c>
      <c r="D44" s="21" t="s">
        <v>6</v>
      </c>
      <c r="E44" s="21" t="s">
        <v>6</v>
      </c>
      <c r="F44" s="21" t="s">
        <v>6</v>
      </c>
      <c r="G44" s="22" t="s">
        <v>6</v>
      </c>
    </row>
    <row r="45" spans="1:7" x14ac:dyDescent="0.25">
      <c r="A45" s="89"/>
      <c r="B45" s="44" t="s">
        <v>7</v>
      </c>
      <c r="C45" s="14">
        <f>2.7105</f>
        <v>2.7105000000000001</v>
      </c>
      <c r="D45" s="14">
        <f t="shared" ref="D45:G45" si="4">2.7105</f>
        <v>2.7105000000000001</v>
      </c>
      <c r="E45" s="14">
        <f t="shared" si="4"/>
        <v>2.7105000000000001</v>
      </c>
      <c r="F45" s="14">
        <f t="shared" si="4"/>
        <v>2.7105000000000001</v>
      </c>
      <c r="G45" s="14">
        <f t="shared" si="4"/>
        <v>2.7105000000000001</v>
      </c>
    </row>
    <row r="46" spans="1:7" ht="15.75" thickBot="1" x14ac:dyDescent="0.3">
      <c r="A46" s="95"/>
      <c r="B46" s="45" t="s">
        <v>8</v>
      </c>
      <c r="C46" s="28"/>
      <c r="D46" s="29"/>
      <c r="E46" s="29"/>
      <c r="F46" s="29"/>
      <c r="G46" s="30"/>
    </row>
    <row r="47" spans="1:7" ht="15.75" thickBot="1" x14ac:dyDescent="0.3">
      <c r="A47" s="96" t="s">
        <v>20</v>
      </c>
      <c r="B47" s="97"/>
      <c r="C47" s="31">
        <v>5169089.1102765817</v>
      </c>
      <c r="D47" s="32">
        <v>3401064.9270000001</v>
      </c>
      <c r="E47" s="32">
        <v>3238475.5845000003</v>
      </c>
      <c r="F47" s="32">
        <v>3828781.827</v>
      </c>
      <c r="G47" s="33">
        <v>4719403.3380000005</v>
      </c>
    </row>
    <row r="48" spans="1:7" x14ac:dyDescent="0.25">
      <c r="A48" s="94" t="s">
        <v>14</v>
      </c>
      <c r="B48" s="46" t="s">
        <v>5</v>
      </c>
      <c r="C48" s="20" t="s">
        <v>6</v>
      </c>
      <c r="D48" s="21" t="s">
        <v>6</v>
      </c>
      <c r="E48" s="21" t="s">
        <v>6</v>
      </c>
      <c r="F48" s="21" t="s">
        <v>6</v>
      </c>
      <c r="G48" s="22" t="s">
        <v>6</v>
      </c>
    </row>
    <row r="49" spans="1:7" x14ac:dyDescent="0.25">
      <c r="A49" s="89"/>
      <c r="B49" s="44" t="s">
        <v>7</v>
      </c>
      <c r="C49" s="14">
        <f>22.26913</f>
        <v>22.269130000000001</v>
      </c>
      <c r="D49" s="14">
        <f t="shared" ref="D49:G49" si="5">22.26913</f>
        <v>22.269130000000001</v>
      </c>
      <c r="E49" s="14">
        <f t="shared" si="5"/>
        <v>22.269130000000001</v>
      </c>
      <c r="F49" s="14">
        <f t="shared" si="5"/>
        <v>22.269130000000001</v>
      </c>
      <c r="G49" s="14">
        <f t="shared" si="5"/>
        <v>22.269130000000001</v>
      </c>
    </row>
    <row r="50" spans="1:7" ht="15.75" thickBot="1" x14ac:dyDescent="0.3">
      <c r="A50" s="90"/>
      <c r="B50" s="45" t="s">
        <v>8</v>
      </c>
      <c r="C50" s="28"/>
      <c r="D50" s="29"/>
      <c r="E50" s="29"/>
      <c r="F50" s="29"/>
      <c r="G50" s="30"/>
    </row>
    <row r="51" spans="1:7" ht="15.75" thickBot="1" x14ac:dyDescent="0.3">
      <c r="A51" s="96" t="s">
        <v>21</v>
      </c>
      <c r="B51" s="97"/>
      <c r="C51" s="31">
        <v>707809.85905634589</v>
      </c>
      <c r="D51" s="32">
        <v>465712.08877700003</v>
      </c>
      <c r="E51" s="32">
        <v>443448.5260595</v>
      </c>
      <c r="F51" s="32">
        <v>524279.900677</v>
      </c>
      <c r="G51" s="33">
        <v>646233.82190466672</v>
      </c>
    </row>
    <row r="52" spans="1:7" x14ac:dyDescent="0.25">
      <c r="A52" s="77" t="s">
        <v>16</v>
      </c>
      <c r="B52" s="78"/>
      <c r="C52" s="34">
        <v>1</v>
      </c>
      <c r="D52" s="35">
        <v>1</v>
      </c>
      <c r="E52" s="35">
        <v>3</v>
      </c>
      <c r="F52" s="35">
        <v>0</v>
      </c>
      <c r="G52" s="36">
        <v>1</v>
      </c>
    </row>
    <row r="53" spans="1:7" ht="15.75" thickBot="1" x14ac:dyDescent="0.3">
      <c r="A53" s="79" t="s">
        <v>17</v>
      </c>
      <c r="B53" s="80"/>
      <c r="C53" s="37">
        <v>1.41280880338853</v>
      </c>
      <c r="D53" s="38">
        <v>2.1472493931306054</v>
      </c>
      <c r="E53" s="38">
        <v>6.7651594800824144</v>
      </c>
      <c r="F53" s="38">
        <v>0</v>
      </c>
      <c r="G53" s="39">
        <v>1.5474275194273588</v>
      </c>
    </row>
    <row r="54" spans="1:7" ht="15.75" thickTop="1" x14ac:dyDescent="0.25"/>
    <row r="55" spans="1:7" ht="15.75" thickBot="1" x14ac:dyDescent="0.3"/>
    <row r="56" spans="1:7" ht="15.75" thickTop="1" x14ac:dyDescent="0.25">
      <c r="A56" s="81"/>
      <c r="B56" s="82"/>
      <c r="C56" s="85" t="s">
        <v>22</v>
      </c>
      <c r="D56" s="86"/>
      <c r="E56" s="86"/>
      <c r="F56" s="86"/>
      <c r="G56" s="87"/>
    </row>
    <row r="57" spans="1:7" ht="15.75" thickBot="1" x14ac:dyDescent="0.3">
      <c r="A57" s="83"/>
      <c r="B57" s="84"/>
      <c r="C57" s="6">
        <v>2013</v>
      </c>
      <c r="D57" s="7">
        <v>2014</v>
      </c>
      <c r="E57" s="7">
        <v>2015</v>
      </c>
      <c r="F57" s="7">
        <v>2016</v>
      </c>
      <c r="G57" s="8">
        <v>2017</v>
      </c>
    </row>
    <row r="58" spans="1:7" x14ac:dyDescent="0.25">
      <c r="A58" s="91" t="s">
        <v>23</v>
      </c>
      <c r="B58" s="92"/>
      <c r="C58" s="47">
        <v>12801108.823914284</v>
      </c>
      <c r="D58" s="48">
        <v>13254301.238711072</v>
      </c>
      <c r="E58" s="48">
        <v>12759167.964815494</v>
      </c>
      <c r="F58" s="48">
        <v>12256174.98525</v>
      </c>
      <c r="G58" s="49">
        <v>14647791.625021825</v>
      </c>
    </row>
    <row r="59" spans="1:7" x14ac:dyDescent="0.25">
      <c r="A59" s="93" t="s">
        <v>24</v>
      </c>
      <c r="B59" s="74"/>
      <c r="C59" s="50">
        <v>14842349.846666193</v>
      </c>
      <c r="D59" s="51">
        <v>14055925.143341109</v>
      </c>
      <c r="E59" s="51">
        <v>13506950.242518269</v>
      </c>
      <c r="F59" s="51">
        <v>13457248.885842884</v>
      </c>
      <c r="G59" s="52">
        <v>16179721.374881878</v>
      </c>
    </row>
    <row r="60" spans="1:7" x14ac:dyDescent="0.25">
      <c r="A60" s="73" t="s">
        <v>25</v>
      </c>
      <c r="B60" s="74"/>
      <c r="C60" s="50">
        <v>3809225.4116635295</v>
      </c>
      <c r="D60" s="51">
        <v>3881845.4988384168</v>
      </c>
      <c r="E60" s="51">
        <v>3735700.0091738584</v>
      </c>
      <c r="F60" s="51">
        <v>3611333.8215668378</v>
      </c>
      <c r="G60" s="52">
        <v>4320611.0113565046</v>
      </c>
    </row>
    <row r="61" spans="1:7" x14ac:dyDescent="0.25">
      <c r="A61" s="73" t="s">
        <v>26</v>
      </c>
      <c r="B61" s="74"/>
      <c r="C61" s="53">
        <v>4</v>
      </c>
      <c r="D61" s="54">
        <v>4</v>
      </c>
      <c r="E61" s="54">
        <v>5</v>
      </c>
      <c r="F61" s="54">
        <v>5</v>
      </c>
      <c r="G61" s="55">
        <v>4</v>
      </c>
    </row>
    <row r="62" spans="1:7" ht="15.75" thickBot="1" x14ac:dyDescent="0.3">
      <c r="A62" s="75" t="s">
        <v>27</v>
      </c>
      <c r="B62" s="76"/>
      <c r="C62" s="37">
        <v>1.0500822523530202</v>
      </c>
      <c r="D62" s="38">
        <v>1.0304377135042957</v>
      </c>
      <c r="E62" s="38">
        <v>1.3384372373909483</v>
      </c>
      <c r="F62" s="38">
        <v>1.3845299955767219</v>
      </c>
      <c r="G62" s="39">
        <v>0.92579498350724121</v>
      </c>
    </row>
    <row r="63" spans="1:7" ht="15.75" thickTop="1" x14ac:dyDescent="0.25"/>
  </sheetData>
  <mergeCells count="33">
    <mergeCell ref="A10:A12"/>
    <mergeCell ref="B3:D3"/>
    <mergeCell ref="B4:D4"/>
    <mergeCell ref="A8:B9"/>
    <mergeCell ref="C8:G8"/>
    <mergeCell ref="A24:A26"/>
    <mergeCell ref="A27:B27"/>
    <mergeCell ref="A28:B28"/>
    <mergeCell ref="A29:B29"/>
    <mergeCell ref="A32:B33"/>
    <mergeCell ref="A13:A15"/>
    <mergeCell ref="A16:A18"/>
    <mergeCell ref="A19:B19"/>
    <mergeCell ref="A20:A22"/>
    <mergeCell ref="A23:B23"/>
    <mergeCell ref="C32:G32"/>
    <mergeCell ref="C56:G56"/>
    <mergeCell ref="A58:B58"/>
    <mergeCell ref="A37:A39"/>
    <mergeCell ref="A40:A42"/>
    <mergeCell ref="A43:B43"/>
    <mergeCell ref="A44:A46"/>
    <mergeCell ref="A47:B47"/>
    <mergeCell ref="A48:A50"/>
    <mergeCell ref="A34:A36"/>
    <mergeCell ref="A59:B59"/>
    <mergeCell ref="A60:B60"/>
    <mergeCell ref="A61:B61"/>
    <mergeCell ref="A62:B62"/>
    <mergeCell ref="A51:B51"/>
    <mergeCell ref="A52:B52"/>
    <mergeCell ref="A53:B53"/>
    <mergeCell ref="A56:B57"/>
  </mergeCells>
  <conditionalFormatting sqref="C14:G14 C17:G17 C38:G38 C41:G41 C11:G11 C21:G21 C25:G25 C45:G45 C49:G49 C35:G35">
    <cfRule type="expression" dxfId="76" priority="11">
      <formula>C10="Default"</formula>
    </cfRule>
  </conditionalFormatting>
  <conditionalFormatting sqref="C12:G12 C15:G15 C18:G18 C22:G22 C26:G26 C36:G36 C39:G39 C42:G42 C46:G46">
    <cfRule type="expression" dxfId="75" priority="10">
      <formula>C10="User Input"</formula>
    </cfRule>
  </conditionalFormatting>
  <conditionalFormatting sqref="C12:G12 C15:G15 C18:G18 C22:G22 C26:G26 C36:G36 C39:G39 C42:G42 C46:G46">
    <cfRule type="expression" dxfId="74" priority="9">
      <formula>AND(C10="User Input",OR(ISBLANK(C12)=TRUE,ISTEXT(C12)=TRUE,C12&lt;0))</formula>
    </cfRule>
  </conditionalFormatting>
  <conditionalFormatting sqref="C50:G50">
    <cfRule type="expression" dxfId="73" priority="7">
      <formula>AND(C48="User Input",OR(ISBLANK(C50)=TRUE,ISTEXT(C50)=TRUE,C50&lt;0))</formula>
    </cfRule>
    <cfRule type="expression" dxfId="72" priority="8">
      <formula>C48="User Input"</formula>
    </cfRule>
  </conditionalFormatting>
  <conditionalFormatting sqref="C19:G19 C43:G43">
    <cfRule type="expression" dxfId="71" priority="4">
      <formula>AND(C16="User Input",OR(ISBLANK(C18)=TRUE,ISTEXT(C18)=TRUE,C18&lt;0))</formula>
    </cfRule>
    <cfRule type="expression" dxfId="70" priority="5">
      <formula>AND(C13="User Input",OR(ISBLANK(C15)=TRUE,ISTEXT(C15)=TRUE,C15&lt;0))</formula>
    </cfRule>
    <cfRule type="expression" dxfId="69" priority="6">
      <formula>AND(C10="User Input",OR(ISBLANK(C12)=TRUE,ISTEXT(C12)=TRUE,C12&lt;0))</formula>
    </cfRule>
  </conditionalFormatting>
  <conditionalFormatting sqref="C23:G23 C27:G27 C47:G47 C51:G51">
    <cfRule type="expression" dxfId="68" priority="3">
      <formula>AND(C20="User Input",OR(ISBLANK(C22)=TRUE,ISTEXT(C22)=TRUE,C22&lt;0))</formula>
    </cfRule>
  </conditionalFormatting>
  <conditionalFormatting sqref="C42">
    <cfRule type="expression" dxfId="67" priority="2">
      <formula>AND(C40="User Input",OR(ISBLANK(C42)=TRUE,ISTEXT(C42)=TRUE,C42&lt;0))</formula>
    </cfRule>
  </conditionalFormatting>
  <conditionalFormatting sqref="C53:G53 C29:G29">
    <cfRule type="expression" dxfId="66" priority="1">
      <formula>ISERROR(C29)</formula>
    </cfRule>
  </conditionalFormatting>
  <dataValidations count="2">
    <dataValidation type="list" allowBlank="1" showInputMessage="1" showErrorMessage="1" sqref="C48:G48 C40:G40 C37:G37 C34:G34 C44:G44 C24:G24 C16:G16 C13:G13 C10:G10 C20:G20">
      <formula1>"Default,User Input"</formula1>
    </dataValidation>
    <dataValidation type="list" allowBlank="1" showInputMessage="1" showErrorMessage="1" sqref="B3">
      <formula1>States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INDIRECT(VLOOKUP(B3,'D:\Windows\LTRC Phase 2\Assorted Data and Work\[areawide-non-motorized_exposure_toolv3.xlsm]MPO Lookup List'!#REF!,2,FALSE))</xm:f>
          </x14:formula1>
          <xm:sqref>B4:D4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3" workbookViewId="0">
      <selection activeCell="F5" sqref="F5:H7"/>
    </sheetView>
  </sheetViews>
  <sheetFormatPr defaultRowHeight="15" x14ac:dyDescent="0.25"/>
  <cols>
    <col min="1" max="1" width="37.42578125" bestFit="1" customWidth="1"/>
    <col min="2" max="2" width="16.42578125" bestFit="1" customWidth="1"/>
    <col min="3" max="7" width="15.42578125" customWidth="1"/>
    <col min="8" max="10" width="14.5703125" customWidth="1"/>
  </cols>
  <sheetData>
    <row r="1" spans="1:12" x14ac:dyDescent="0.25">
      <c r="A1" s="1" t="s">
        <v>59</v>
      </c>
      <c r="B1" s="1"/>
    </row>
    <row r="3" spans="1:12" x14ac:dyDescent="0.25">
      <c r="A3" s="2" t="s">
        <v>1</v>
      </c>
      <c r="B3" s="115" t="s">
        <v>2</v>
      </c>
      <c r="C3" s="115"/>
      <c r="D3" s="115"/>
    </row>
    <row r="4" spans="1:12" ht="40.15" customHeight="1" x14ac:dyDescent="0.25">
      <c r="A4" s="4" t="s">
        <v>60</v>
      </c>
      <c r="B4" s="131" t="s">
        <v>52</v>
      </c>
      <c r="C4" s="132"/>
      <c r="D4" s="132"/>
      <c r="F4" s="56"/>
      <c r="J4" s="3"/>
      <c r="K4" s="3"/>
      <c r="L4" s="3"/>
    </row>
    <row r="5" spans="1:12" ht="15.75" customHeight="1" x14ac:dyDescent="0.25">
      <c r="F5" s="3"/>
      <c r="G5" s="3"/>
      <c r="H5" s="3"/>
    </row>
    <row r="6" spans="1:12" ht="15.75" customHeight="1" x14ac:dyDescent="0.25">
      <c r="F6" s="3"/>
      <c r="G6" s="3"/>
      <c r="H6" s="3"/>
    </row>
    <row r="7" spans="1:12" ht="15.75" customHeight="1" thickBot="1" x14ac:dyDescent="0.3">
      <c r="F7" s="3"/>
      <c r="G7" s="3"/>
      <c r="H7" s="3"/>
      <c r="I7" s="3"/>
      <c r="J7" s="3"/>
      <c r="K7" s="3"/>
      <c r="L7" s="3"/>
    </row>
    <row r="8" spans="1:12" ht="15.75" thickTop="1" x14ac:dyDescent="0.25">
      <c r="A8" s="116"/>
      <c r="B8" s="117"/>
      <c r="C8" s="85" t="s">
        <v>3</v>
      </c>
      <c r="D8" s="86"/>
      <c r="E8" s="86"/>
      <c r="F8" s="86"/>
      <c r="G8" s="87"/>
    </row>
    <row r="9" spans="1:12" ht="15.75" thickBot="1" x14ac:dyDescent="0.3">
      <c r="A9" s="118"/>
      <c r="B9" s="119"/>
      <c r="C9" s="6">
        <v>2013</v>
      </c>
      <c r="D9" s="7">
        <v>2014</v>
      </c>
      <c r="E9" s="7">
        <v>2015</v>
      </c>
      <c r="F9" s="7">
        <v>2016</v>
      </c>
      <c r="G9" s="8">
        <v>2017</v>
      </c>
    </row>
    <row r="10" spans="1:12" ht="15.75" thickTop="1" x14ac:dyDescent="0.25">
      <c r="A10" s="130" t="s">
        <v>4</v>
      </c>
      <c r="B10" s="9" t="s">
        <v>5</v>
      </c>
      <c r="C10" s="10" t="s">
        <v>6</v>
      </c>
      <c r="D10" s="11" t="s">
        <v>6</v>
      </c>
      <c r="E10" s="11" t="s">
        <v>6</v>
      </c>
      <c r="F10" s="11" t="s">
        <v>6</v>
      </c>
      <c r="G10" s="12" t="s">
        <v>6</v>
      </c>
    </row>
    <row r="11" spans="1:12" x14ac:dyDescent="0.25">
      <c r="A11" s="112"/>
      <c r="B11" s="13" t="s">
        <v>7</v>
      </c>
      <c r="C11" s="14">
        <f>0.3613</f>
        <v>0.36130000000000001</v>
      </c>
      <c r="D11" s="14">
        <f t="shared" ref="D11:G11" si="0">0.3613</f>
        <v>0.36130000000000001</v>
      </c>
      <c r="E11" s="14">
        <f t="shared" si="0"/>
        <v>0.36130000000000001</v>
      </c>
      <c r="F11" s="14">
        <f t="shared" si="0"/>
        <v>0.36130000000000001</v>
      </c>
      <c r="G11" s="14">
        <f t="shared" si="0"/>
        <v>0.36130000000000001</v>
      </c>
    </row>
    <row r="12" spans="1:12" ht="15.75" thickBot="1" x14ac:dyDescent="0.3">
      <c r="A12" s="114"/>
      <c r="B12" s="16" t="s">
        <v>8</v>
      </c>
      <c r="C12" s="17"/>
      <c r="D12" s="17"/>
      <c r="E12" s="17"/>
      <c r="F12" s="17"/>
      <c r="G12" s="18"/>
    </row>
    <row r="13" spans="1:12" x14ac:dyDescent="0.25">
      <c r="A13" s="111" t="s">
        <v>61</v>
      </c>
      <c r="B13" s="19" t="s">
        <v>5</v>
      </c>
      <c r="C13" s="20" t="s">
        <v>6</v>
      </c>
      <c r="D13" s="21" t="s">
        <v>6</v>
      </c>
      <c r="E13" s="21" t="s">
        <v>6</v>
      </c>
      <c r="F13" s="21" t="s">
        <v>6</v>
      </c>
      <c r="G13" s="22" t="s">
        <v>6</v>
      </c>
    </row>
    <row r="14" spans="1:12" x14ac:dyDescent="0.25">
      <c r="A14" s="112"/>
      <c r="B14" s="13" t="s">
        <v>7</v>
      </c>
      <c r="C14" s="23">
        <f>168800</f>
        <v>168800</v>
      </c>
      <c r="D14" s="23">
        <v>170301</v>
      </c>
      <c r="E14" s="23">
        <v>170665</v>
      </c>
      <c r="F14" s="23">
        <v>171512</v>
      </c>
      <c r="G14" s="24">
        <v>172825</v>
      </c>
    </row>
    <row r="15" spans="1:12" ht="15.75" thickBot="1" x14ac:dyDescent="0.3">
      <c r="A15" s="114"/>
      <c r="B15" s="16" t="s">
        <v>8</v>
      </c>
      <c r="C15" s="17"/>
      <c r="D15" s="17"/>
      <c r="E15" s="17"/>
      <c r="F15" s="17"/>
      <c r="G15" s="18"/>
    </row>
    <row r="16" spans="1:12" x14ac:dyDescent="0.25">
      <c r="A16" s="111" t="s">
        <v>62</v>
      </c>
      <c r="B16" s="19" t="s">
        <v>5</v>
      </c>
      <c r="C16" s="20" t="s">
        <v>6</v>
      </c>
      <c r="D16" s="21" t="s">
        <v>6</v>
      </c>
      <c r="E16" s="21" t="s">
        <v>6</v>
      </c>
      <c r="F16" s="21" t="s">
        <v>6</v>
      </c>
      <c r="G16" s="22" t="s">
        <v>6</v>
      </c>
    </row>
    <row r="17" spans="1:7" x14ac:dyDescent="0.25">
      <c r="A17" s="112"/>
      <c r="B17" s="13" t="s">
        <v>7</v>
      </c>
      <c r="C17" s="14">
        <f>1.02208</f>
        <v>1.0220800000000001</v>
      </c>
      <c r="D17" s="14">
        <v>0.87272000000000005</v>
      </c>
      <c r="E17" s="14">
        <f>1.04464</f>
        <v>1.04464</v>
      </c>
      <c r="F17" s="14">
        <f>1</f>
        <v>1</v>
      </c>
      <c r="G17" s="15">
        <v>1.0831299999999999</v>
      </c>
    </row>
    <row r="18" spans="1:7" ht="15.75" thickBot="1" x14ac:dyDescent="0.3">
      <c r="A18" s="113"/>
      <c r="B18" s="16" t="s">
        <v>8</v>
      </c>
      <c r="C18" s="17"/>
      <c r="D18" s="17"/>
      <c r="E18" s="17"/>
      <c r="F18" s="17"/>
      <c r="G18" s="18"/>
    </row>
    <row r="19" spans="1:7" ht="15.75" thickBot="1" x14ac:dyDescent="0.3">
      <c r="A19" s="109" t="s">
        <v>11</v>
      </c>
      <c r="B19" s="110"/>
      <c r="C19" s="25">
        <v>22751925.576448005</v>
      </c>
      <c r="D19" s="26">
        <v>19599859.262405641</v>
      </c>
      <c r="E19" s="26">
        <v>23511045.5217572</v>
      </c>
      <c r="F19" s="26">
        <v>22618059.244000003</v>
      </c>
      <c r="G19" s="27">
        <v>24685843.788247623</v>
      </c>
    </row>
    <row r="20" spans="1:7" x14ac:dyDescent="0.25">
      <c r="A20" s="111" t="s">
        <v>12</v>
      </c>
      <c r="B20" s="19" t="s">
        <v>5</v>
      </c>
      <c r="C20" s="20" t="s">
        <v>6</v>
      </c>
      <c r="D20" s="21" t="s">
        <v>6</v>
      </c>
      <c r="E20" s="21" t="s">
        <v>6</v>
      </c>
      <c r="F20" s="21" t="s">
        <v>6</v>
      </c>
      <c r="G20" s="22" t="s">
        <v>6</v>
      </c>
    </row>
    <row r="21" spans="1:7" x14ac:dyDescent="0.25">
      <c r="A21" s="112"/>
      <c r="B21" s="13" t="s">
        <v>7</v>
      </c>
      <c r="C21" s="14">
        <f>0.83997</f>
        <v>0.83996999999999999</v>
      </c>
      <c r="D21" s="14">
        <f t="shared" ref="D21:G21" si="1">0.83997</f>
        <v>0.83996999999999999</v>
      </c>
      <c r="E21" s="14">
        <f t="shared" si="1"/>
        <v>0.83996999999999999</v>
      </c>
      <c r="F21" s="14">
        <f t="shared" si="1"/>
        <v>0.83996999999999999</v>
      </c>
      <c r="G21" s="14">
        <f t="shared" si="1"/>
        <v>0.83996999999999999</v>
      </c>
    </row>
    <row r="22" spans="1:7" ht="15.75" thickBot="1" x14ac:dyDescent="0.3">
      <c r="A22" s="113"/>
      <c r="B22" s="16" t="s">
        <v>8</v>
      </c>
      <c r="C22" s="17"/>
      <c r="D22" s="17"/>
      <c r="E22" s="17"/>
      <c r="F22" s="17"/>
      <c r="G22" s="18"/>
    </row>
    <row r="23" spans="1:7" ht="15.75" thickBot="1" x14ac:dyDescent="0.3">
      <c r="A23" s="109" t="s">
        <v>13</v>
      </c>
      <c r="B23" s="110"/>
      <c r="C23" s="25">
        <v>19110934.926449031</v>
      </c>
      <c r="D23" s="26">
        <v>16463293.784642866</v>
      </c>
      <c r="E23" s="26">
        <v>19748572.906910397</v>
      </c>
      <c r="F23" s="26">
        <v>18998491.223182682</v>
      </c>
      <c r="G23" s="27">
        <v>20735368.206814356</v>
      </c>
    </row>
    <row r="24" spans="1:7" x14ac:dyDescent="0.25">
      <c r="A24" s="111" t="s">
        <v>14</v>
      </c>
      <c r="B24" s="19" t="s">
        <v>5</v>
      </c>
      <c r="C24" s="20" t="s">
        <v>6</v>
      </c>
      <c r="D24" s="21" t="s">
        <v>6</v>
      </c>
      <c r="E24" s="21" t="s">
        <v>6</v>
      </c>
      <c r="F24" s="21" t="s">
        <v>6</v>
      </c>
      <c r="G24" s="22" t="s">
        <v>6</v>
      </c>
    </row>
    <row r="25" spans="1:7" x14ac:dyDescent="0.25">
      <c r="A25" s="112"/>
      <c r="B25" s="13" t="s">
        <v>7</v>
      </c>
      <c r="C25" s="14">
        <f>17.23612</f>
        <v>17.23612</v>
      </c>
      <c r="D25" s="14">
        <f t="shared" ref="D25:G25" si="2">17.23612</f>
        <v>17.23612</v>
      </c>
      <c r="E25" s="14">
        <f t="shared" si="2"/>
        <v>17.23612</v>
      </c>
      <c r="F25" s="14">
        <f t="shared" si="2"/>
        <v>17.23612</v>
      </c>
      <c r="G25" s="14">
        <f t="shared" si="2"/>
        <v>17.23612</v>
      </c>
    </row>
    <row r="26" spans="1:7" ht="15.75" thickBot="1" x14ac:dyDescent="0.3">
      <c r="A26" s="114"/>
      <c r="B26" s="16" t="s">
        <v>8</v>
      </c>
      <c r="C26" s="28"/>
      <c r="D26" s="29"/>
      <c r="E26" s="29"/>
      <c r="F26" s="29"/>
      <c r="G26" s="30"/>
    </row>
    <row r="27" spans="1:7" ht="15.75" thickBot="1" x14ac:dyDescent="0.3">
      <c r="A27" s="109" t="s">
        <v>15</v>
      </c>
      <c r="B27" s="110"/>
      <c r="C27" s="31">
        <v>6535915.3244454497</v>
      </c>
      <c r="D27" s="32">
        <v>5630425.4371655853</v>
      </c>
      <c r="E27" s="32">
        <v>6753986.6989744958</v>
      </c>
      <c r="F27" s="32">
        <v>6497459.7216115557</v>
      </c>
      <c r="G27" s="33">
        <v>7091469.4305915106</v>
      </c>
    </row>
    <row r="28" spans="1:7" x14ac:dyDescent="0.25">
      <c r="A28" s="98" t="s">
        <v>16</v>
      </c>
      <c r="B28" s="99"/>
      <c r="C28" s="34">
        <v>1</v>
      </c>
      <c r="D28" s="35">
        <v>2</v>
      </c>
      <c r="E28" s="35">
        <v>7</v>
      </c>
      <c r="F28" s="35">
        <v>9</v>
      </c>
      <c r="G28" s="36">
        <v>7</v>
      </c>
    </row>
    <row r="29" spans="1:7" ht="15.75" thickBot="1" x14ac:dyDescent="0.3">
      <c r="A29" s="100" t="s">
        <v>17</v>
      </c>
      <c r="B29" s="101"/>
      <c r="C29" s="37">
        <v>0.15300075817381351</v>
      </c>
      <c r="D29" s="38">
        <v>0.35521294479779503</v>
      </c>
      <c r="E29" s="38">
        <v>1.0364249016159386</v>
      </c>
      <c r="F29" s="38">
        <v>1.3851567205664406</v>
      </c>
      <c r="G29" s="39">
        <v>0.98710148418648946</v>
      </c>
    </row>
    <row r="30" spans="1:7" ht="15.75" thickTop="1" x14ac:dyDescent="0.25"/>
    <row r="31" spans="1:7" ht="15.75" thickBot="1" x14ac:dyDescent="0.3"/>
    <row r="32" spans="1:7" ht="15.75" thickTop="1" x14ac:dyDescent="0.25">
      <c r="A32" s="102"/>
      <c r="B32" s="103"/>
      <c r="C32" s="85" t="s">
        <v>18</v>
      </c>
      <c r="D32" s="86"/>
      <c r="E32" s="86"/>
      <c r="F32" s="86"/>
      <c r="G32" s="87"/>
    </row>
    <row r="33" spans="1:7" ht="15.75" thickBot="1" x14ac:dyDescent="0.3">
      <c r="A33" s="104"/>
      <c r="B33" s="105"/>
      <c r="C33" s="40">
        <v>2013</v>
      </c>
      <c r="D33" s="41">
        <v>2014</v>
      </c>
      <c r="E33" s="41">
        <v>2015</v>
      </c>
      <c r="F33" s="41">
        <v>2016</v>
      </c>
      <c r="G33" s="42">
        <v>2017</v>
      </c>
    </row>
    <row r="34" spans="1:7" ht="15.75" thickTop="1" x14ac:dyDescent="0.25">
      <c r="A34" s="88" t="s">
        <v>4</v>
      </c>
      <c r="B34" s="43" t="s">
        <v>5</v>
      </c>
      <c r="C34" s="10" t="s">
        <v>6</v>
      </c>
      <c r="D34" s="11" t="s">
        <v>6</v>
      </c>
      <c r="E34" s="11" t="s">
        <v>6</v>
      </c>
      <c r="F34" s="11" t="s">
        <v>6</v>
      </c>
      <c r="G34" s="12" t="s">
        <v>6</v>
      </c>
    </row>
    <row r="35" spans="1:7" x14ac:dyDescent="0.25">
      <c r="A35" s="89"/>
      <c r="B35" s="44" t="s">
        <v>7</v>
      </c>
      <c r="C35" s="14">
        <f>0.03757</f>
        <v>3.7569999999999999E-2</v>
      </c>
      <c r="D35" s="14">
        <f t="shared" ref="D35:G35" si="3">0.03757</f>
        <v>3.7569999999999999E-2</v>
      </c>
      <c r="E35" s="14">
        <f t="shared" si="3"/>
        <v>3.7569999999999999E-2</v>
      </c>
      <c r="F35" s="14">
        <f t="shared" si="3"/>
        <v>3.7569999999999999E-2</v>
      </c>
      <c r="G35" s="14">
        <f t="shared" si="3"/>
        <v>3.7569999999999999E-2</v>
      </c>
    </row>
    <row r="36" spans="1:7" ht="15.75" thickBot="1" x14ac:dyDescent="0.3">
      <c r="A36" s="90"/>
      <c r="B36" s="45" t="s">
        <v>8</v>
      </c>
      <c r="C36" s="28"/>
      <c r="D36" s="29"/>
      <c r="E36" s="29"/>
      <c r="F36" s="29"/>
      <c r="G36" s="30"/>
    </row>
    <row r="37" spans="1:7" x14ac:dyDescent="0.25">
      <c r="A37" s="94" t="s">
        <v>61</v>
      </c>
      <c r="B37" s="46" t="s">
        <v>5</v>
      </c>
      <c r="C37" s="20" t="s">
        <v>6</v>
      </c>
      <c r="D37" s="21" t="s">
        <v>6</v>
      </c>
      <c r="E37" s="21" t="s">
        <v>6</v>
      </c>
      <c r="F37" s="21" t="s">
        <v>6</v>
      </c>
      <c r="G37" s="22" t="s">
        <v>6</v>
      </c>
    </row>
    <row r="38" spans="1:7" x14ac:dyDescent="0.25">
      <c r="A38" s="89"/>
      <c r="B38" s="44" t="s">
        <v>7</v>
      </c>
      <c r="C38" s="23">
        <v>168800</v>
      </c>
      <c r="D38" s="23">
        <v>170301</v>
      </c>
      <c r="E38" s="23">
        <v>170665</v>
      </c>
      <c r="F38" s="23">
        <v>171512</v>
      </c>
      <c r="G38" s="24">
        <v>172825</v>
      </c>
    </row>
    <row r="39" spans="1:7" ht="15.75" thickBot="1" x14ac:dyDescent="0.3">
      <c r="A39" s="90"/>
      <c r="B39" s="45" t="s">
        <v>8</v>
      </c>
      <c r="C39" s="28"/>
      <c r="D39" s="29"/>
      <c r="E39" s="29"/>
      <c r="F39" s="29"/>
      <c r="G39" s="30"/>
    </row>
    <row r="40" spans="1:7" x14ac:dyDescent="0.25">
      <c r="A40" s="94" t="s">
        <v>63</v>
      </c>
      <c r="B40" s="46" t="s">
        <v>5</v>
      </c>
      <c r="C40" s="20" t="s">
        <v>6</v>
      </c>
      <c r="D40" s="21" t="s">
        <v>6</v>
      </c>
      <c r="E40" s="21" t="s">
        <v>6</v>
      </c>
      <c r="F40" s="21" t="s">
        <v>6</v>
      </c>
      <c r="G40" s="22" t="s">
        <v>6</v>
      </c>
    </row>
    <row r="41" spans="1:7" x14ac:dyDescent="0.25">
      <c r="A41" s="89"/>
      <c r="B41" s="44" t="s">
        <v>7</v>
      </c>
      <c r="C41" s="14">
        <f>0.30831</f>
        <v>0.30830999999999997</v>
      </c>
      <c r="D41" s="14">
        <f>0.46381</f>
        <v>0.46381</v>
      </c>
      <c r="E41" s="14">
        <f>0.65684</f>
        <v>0.65683999999999998</v>
      </c>
      <c r="F41" s="14">
        <f>1</f>
        <v>1</v>
      </c>
      <c r="G41" s="15">
        <f>1.04021</f>
        <v>1.0402100000000001</v>
      </c>
    </row>
    <row r="42" spans="1:7" ht="15.75" thickBot="1" x14ac:dyDescent="0.3">
      <c r="A42" s="95"/>
      <c r="B42" s="45" t="s">
        <v>8</v>
      </c>
      <c r="C42" s="28"/>
      <c r="D42" s="29"/>
      <c r="E42" s="29"/>
      <c r="F42" s="29"/>
      <c r="G42" s="30"/>
    </row>
    <row r="43" spans="1:7" ht="15.75" thickBot="1" x14ac:dyDescent="0.3">
      <c r="A43" s="96" t="s">
        <v>19</v>
      </c>
      <c r="B43" s="97"/>
      <c r="C43" s="31">
        <v>713664.53120039986</v>
      </c>
      <c r="D43" s="32">
        <v>1083156.8876508705</v>
      </c>
      <c r="E43" s="32">
        <v>1537227.4005817298</v>
      </c>
      <c r="F43" s="32">
        <v>2351952.6316</v>
      </c>
      <c r="G43" s="33">
        <v>2465253.8720519128</v>
      </c>
    </row>
    <row r="44" spans="1:7" x14ac:dyDescent="0.25">
      <c r="A44" s="94" t="s">
        <v>12</v>
      </c>
      <c r="B44" s="46" t="s">
        <v>5</v>
      </c>
      <c r="C44" s="20" t="s">
        <v>6</v>
      </c>
      <c r="D44" s="21" t="s">
        <v>6</v>
      </c>
      <c r="E44" s="21" t="s">
        <v>6</v>
      </c>
      <c r="F44" s="21" t="s">
        <v>6</v>
      </c>
      <c r="G44" s="22" t="s">
        <v>6</v>
      </c>
    </row>
    <row r="45" spans="1:7" x14ac:dyDescent="0.25">
      <c r="A45" s="89"/>
      <c r="B45" s="44" t="s">
        <v>7</v>
      </c>
      <c r="C45" s="14">
        <f>2.7105</f>
        <v>2.7105000000000001</v>
      </c>
      <c r="D45" s="14">
        <f t="shared" ref="D45:G45" si="4">2.7105</f>
        <v>2.7105000000000001</v>
      </c>
      <c r="E45" s="14">
        <f t="shared" si="4"/>
        <v>2.7105000000000001</v>
      </c>
      <c r="F45" s="14">
        <f t="shared" si="4"/>
        <v>2.7105000000000001</v>
      </c>
      <c r="G45" s="14">
        <f t="shared" si="4"/>
        <v>2.7105000000000001</v>
      </c>
    </row>
    <row r="46" spans="1:7" ht="15.75" thickBot="1" x14ac:dyDescent="0.3">
      <c r="A46" s="95"/>
      <c r="B46" s="45" t="s">
        <v>8</v>
      </c>
      <c r="C46" s="28"/>
      <c r="D46" s="29"/>
      <c r="E46" s="29"/>
      <c r="F46" s="29"/>
      <c r="G46" s="30"/>
    </row>
    <row r="47" spans="1:7" ht="15.75" thickBot="1" x14ac:dyDescent="0.3">
      <c r="A47" s="96" t="s">
        <v>20</v>
      </c>
      <c r="B47" s="97"/>
      <c r="C47" s="31">
        <v>1934387.7118186839</v>
      </c>
      <c r="D47" s="32">
        <v>2935896.7439776845</v>
      </c>
      <c r="E47" s="32">
        <v>4166654.8692767788</v>
      </c>
      <c r="F47" s="32">
        <v>6374967.6079518003</v>
      </c>
      <c r="G47" s="33">
        <v>6682070.6201967103</v>
      </c>
    </row>
    <row r="48" spans="1:7" x14ac:dyDescent="0.25">
      <c r="A48" s="94" t="s">
        <v>14</v>
      </c>
      <c r="B48" s="46" t="s">
        <v>5</v>
      </c>
      <c r="C48" s="20" t="s">
        <v>6</v>
      </c>
      <c r="D48" s="21" t="s">
        <v>6</v>
      </c>
      <c r="E48" s="21" t="s">
        <v>6</v>
      </c>
      <c r="F48" s="21" t="s">
        <v>6</v>
      </c>
      <c r="G48" s="22" t="s">
        <v>6</v>
      </c>
    </row>
    <row r="49" spans="1:7" x14ac:dyDescent="0.25">
      <c r="A49" s="89"/>
      <c r="B49" s="44" t="s">
        <v>7</v>
      </c>
      <c r="C49" s="14">
        <f>22.26913</f>
        <v>22.269130000000001</v>
      </c>
      <c r="D49" s="14">
        <f t="shared" ref="D49:G49" si="5">22.26913</f>
        <v>22.269130000000001</v>
      </c>
      <c r="E49" s="14">
        <f t="shared" si="5"/>
        <v>22.269130000000001</v>
      </c>
      <c r="F49" s="14">
        <f t="shared" si="5"/>
        <v>22.269130000000001</v>
      </c>
      <c r="G49" s="14">
        <f t="shared" si="5"/>
        <v>22.269130000000001</v>
      </c>
    </row>
    <row r="50" spans="1:7" ht="15.75" thickBot="1" x14ac:dyDescent="0.3">
      <c r="A50" s="90"/>
      <c r="B50" s="45" t="s">
        <v>8</v>
      </c>
      <c r="C50" s="28"/>
      <c r="D50" s="29"/>
      <c r="E50" s="29"/>
      <c r="F50" s="29"/>
      <c r="G50" s="30"/>
    </row>
    <row r="51" spans="1:7" ht="15.75" thickBot="1" x14ac:dyDescent="0.3">
      <c r="A51" s="96" t="s">
        <v>21</v>
      </c>
      <c r="B51" s="97"/>
      <c r="C51" s="31">
        <v>264878.13702817936</v>
      </c>
      <c r="D51" s="32">
        <v>402016.02569154382</v>
      </c>
      <c r="E51" s="32">
        <v>570545.280385277</v>
      </c>
      <c r="F51" s="32">
        <v>872932.31511570851</v>
      </c>
      <c r="G51" s="33">
        <v>914984.31599545688</v>
      </c>
    </row>
    <row r="52" spans="1:7" x14ac:dyDescent="0.25">
      <c r="A52" s="77" t="s">
        <v>16</v>
      </c>
      <c r="B52" s="78"/>
      <c r="C52" s="34">
        <v>0</v>
      </c>
      <c r="D52" s="35">
        <v>0</v>
      </c>
      <c r="E52" s="35">
        <v>2</v>
      </c>
      <c r="F52" s="35">
        <v>1</v>
      </c>
      <c r="G52" s="36">
        <v>1</v>
      </c>
    </row>
    <row r="53" spans="1:7" ht="15.75" thickBot="1" x14ac:dyDescent="0.3">
      <c r="A53" s="79" t="s">
        <v>17</v>
      </c>
      <c r="B53" s="80"/>
      <c r="C53" s="37">
        <v>0</v>
      </c>
      <c r="D53" s="38">
        <v>0</v>
      </c>
      <c r="E53" s="38">
        <v>3.505418533388696</v>
      </c>
      <c r="F53" s="38">
        <v>1.1455641894382711</v>
      </c>
      <c r="G53" s="39">
        <v>1.0929149085053445</v>
      </c>
    </row>
    <row r="54" spans="1:7" ht="15.75" thickTop="1" x14ac:dyDescent="0.25"/>
    <row r="55" spans="1:7" ht="15.75" thickBot="1" x14ac:dyDescent="0.3"/>
    <row r="56" spans="1:7" ht="15.75" thickTop="1" x14ac:dyDescent="0.25">
      <c r="A56" s="81"/>
      <c r="B56" s="82"/>
      <c r="C56" s="85" t="s">
        <v>22</v>
      </c>
      <c r="D56" s="86"/>
      <c r="E56" s="86"/>
      <c r="F56" s="86"/>
      <c r="G56" s="87"/>
    </row>
    <row r="57" spans="1:7" ht="15.75" thickBot="1" x14ac:dyDescent="0.3">
      <c r="A57" s="83"/>
      <c r="B57" s="84"/>
      <c r="C57" s="6">
        <v>2013</v>
      </c>
      <c r="D57" s="7">
        <v>2014</v>
      </c>
      <c r="E57" s="7">
        <v>2015</v>
      </c>
      <c r="F57" s="7">
        <v>2016</v>
      </c>
      <c r="G57" s="8">
        <v>2017</v>
      </c>
    </row>
    <row r="58" spans="1:7" x14ac:dyDescent="0.25">
      <c r="A58" s="91" t="s">
        <v>23</v>
      </c>
      <c r="B58" s="92"/>
      <c r="C58" s="47">
        <v>23465590.107648406</v>
      </c>
      <c r="D58" s="48">
        <v>20683016.150056511</v>
      </c>
      <c r="E58" s="48">
        <v>25048272.922338929</v>
      </c>
      <c r="F58" s="48">
        <v>24970011.875600003</v>
      </c>
      <c r="G58" s="49">
        <v>27151097.660299536</v>
      </c>
    </row>
    <row r="59" spans="1:7" x14ac:dyDescent="0.25">
      <c r="A59" s="93" t="s">
        <v>24</v>
      </c>
      <c r="B59" s="74"/>
      <c r="C59" s="50">
        <v>21045322.638267715</v>
      </c>
      <c r="D59" s="51">
        <v>19399190.528620549</v>
      </c>
      <c r="E59" s="51">
        <v>23915227.776187174</v>
      </c>
      <c r="F59" s="51">
        <v>25373458.831134483</v>
      </c>
      <c r="G59" s="52">
        <v>27417438.827011067</v>
      </c>
    </row>
    <row r="60" spans="1:7" x14ac:dyDescent="0.25">
      <c r="A60" s="73" t="s">
        <v>25</v>
      </c>
      <c r="B60" s="74"/>
      <c r="C60" s="50">
        <v>6800793.4614736289</v>
      </c>
      <c r="D60" s="51">
        <v>6032441.4628571291</v>
      </c>
      <c r="E60" s="51">
        <v>7324531.979359773</v>
      </c>
      <c r="F60" s="51">
        <v>7370392.0367272645</v>
      </c>
      <c r="G60" s="52">
        <v>8006453.7465869673</v>
      </c>
    </row>
    <row r="61" spans="1:7" x14ac:dyDescent="0.25">
      <c r="A61" s="73" t="s">
        <v>26</v>
      </c>
      <c r="B61" s="74"/>
      <c r="C61" s="53">
        <v>1</v>
      </c>
      <c r="D61" s="54">
        <v>2</v>
      </c>
      <c r="E61" s="54">
        <v>9</v>
      </c>
      <c r="F61" s="54">
        <v>10</v>
      </c>
      <c r="G61" s="55">
        <v>8</v>
      </c>
    </row>
    <row r="62" spans="1:7" ht="15.75" thickBot="1" x14ac:dyDescent="0.3">
      <c r="A62" s="75" t="s">
        <v>27</v>
      </c>
      <c r="B62" s="76"/>
      <c r="C62" s="37">
        <v>0.14704166589751355</v>
      </c>
      <c r="D62" s="38">
        <v>0.33154072232849241</v>
      </c>
      <c r="E62" s="38">
        <v>1.2287474510810557</v>
      </c>
      <c r="F62" s="38">
        <v>1.3567799311310964</v>
      </c>
      <c r="G62" s="39">
        <v>0.99919393194649775</v>
      </c>
    </row>
    <row r="63" spans="1:7" ht="15.75" thickTop="1" x14ac:dyDescent="0.25"/>
  </sheetData>
  <sortState ref="A2:F253">
    <sortCondition ref="B2:B253"/>
  </sortState>
  <mergeCells count="33">
    <mergeCell ref="A10:A12"/>
    <mergeCell ref="B3:D3"/>
    <mergeCell ref="B4:D4"/>
    <mergeCell ref="A8:B9"/>
    <mergeCell ref="C8:G8"/>
    <mergeCell ref="A24:A26"/>
    <mergeCell ref="A27:B27"/>
    <mergeCell ref="A28:B28"/>
    <mergeCell ref="A29:B29"/>
    <mergeCell ref="A32:B33"/>
    <mergeCell ref="A13:A15"/>
    <mergeCell ref="A16:A18"/>
    <mergeCell ref="A19:B19"/>
    <mergeCell ref="A20:A22"/>
    <mergeCell ref="A23:B23"/>
    <mergeCell ref="C32:G32"/>
    <mergeCell ref="C56:G56"/>
    <mergeCell ref="A58:B58"/>
    <mergeCell ref="A37:A39"/>
    <mergeCell ref="A40:A42"/>
    <mergeCell ref="A43:B43"/>
    <mergeCell ref="A44:A46"/>
    <mergeCell ref="A47:B47"/>
    <mergeCell ref="A48:A50"/>
    <mergeCell ref="A34:A36"/>
    <mergeCell ref="A59:B59"/>
    <mergeCell ref="A60:B60"/>
    <mergeCell ref="A61:B61"/>
    <mergeCell ref="A62:B62"/>
    <mergeCell ref="A51:B51"/>
    <mergeCell ref="A52:B52"/>
    <mergeCell ref="A53:B53"/>
    <mergeCell ref="A56:B57"/>
  </mergeCells>
  <conditionalFormatting sqref="C14:G14 C17:G17 C38:G38 C41:G41 C11:G11 C21:G21 C25:G25 C35:G35 C45:G45 C49:G49">
    <cfRule type="expression" dxfId="65" priority="11">
      <formula>C10="Default"</formula>
    </cfRule>
  </conditionalFormatting>
  <conditionalFormatting sqref="C12:G12 C15:G15 C18:G18 C22:G22 C26:G26 C36:G36 C39:G39 C42:G42 C46:G46">
    <cfRule type="expression" dxfId="64" priority="10">
      <formula>C10="User Input"</formula>
    </cfRule>
  </conditionalFormatting>
  <conditionalFormatting sqref="C12:G12 C15:G15 C18:G18 C22:G22 C26:G26 C36:G36 C39:G39 C42:G42 C46:G46">
    <cfRule type="expression" dxfId="63" priority="9">
      <formula>AND(C10="User Input",OR(ISBLANK(C12)=TRUE,ISTEXT(C12)=TRUE,C12&lt;0))</formula>
    </cfRule>
  </conditionalFormatting>
  <conditionalFormatting sqref="C50:G50">
    <cfRule type="expression" dxfId="62" priority="7">
      <formula>AND(C48="User Input",OR(ISBLANK(C50)=TRUE,ISTEXT(C50)=TRUE,C50&lt;0))</formula>
    </cfRule>
    <cfRule type="expression" dxfId="61" priority="8">
      <formula>C48="User Input"</formula>
    </cfRule>
  </conditionalFormatting>
  <conditionalFormatting sqref="C19:G19 C43:G43">
    <cfRule type="expression" dxfId="60" priority="4">
      <formula>AND(C16="User Input",OR(ISBLANK(C18)=TRUE,ISTEXT(C18)=TRUE,C18&lt;0))</formula>
    </cfRule>
    <cfRule type="expression" dxfId="59" priority="5">
      <formula>AND(C13="User Input",OR(ISBLANK(C15)=TRUE,ISTEXT(C15)=TRUE,C15&lt;0))</formula>
    </cfRule>
    <cfRule type="expression" dxfId="58" priority="6">
      <formula>AND(C10="User Input",OR(ISBLANK(C12)=TRUE,ISTEXT(C12)=TRUE,C12&lt;0))</formula>
    </cfRule>
  </conditionalFormatting>
  <conditionalFormatting sqref="C23:G23 C27:G27 C47:G47 C51:G51">
    <cfRule type="expression" dxfId="57" priority="3">
      <formula>AND(C20="User Input",OR(ISBLANK(C22)=TRUE,ISTEXT(C22)=TRUE,C22&lt;0))</formula>
    </cfRule>
  </conditionalFormatting>
  <conditionalFormatting sqref="C42">
    <cfRule type="expression" dxfId="56" priority="2">
      <formula>AND(C40="User Input",OR(ISBLANK(C42)=TRUE,ISTEXT(C42)=TRUE,C42&lt;0))</formula>
    </cfRule>
  </conditionalFormatting>
  <conditionalFormatting sqref="C53:G53 C29:G29">
    <cfRule type="expression" dxfId="55" priority="1">
      <formula>ISERROR(C29)</formula>
    </cfRule>
  </conditionalFormatting>
  <dataValidations count="2">
    <dataValidation type="list" allowBlank="1" showInputMessage="1" showErrorMessage="1" sqref="C48:G48 C40:G40 C37:G37 C34:G34 C44:G44 C24:G24 C16:G16 C13:G13 C10:G10 C20:G20">
      <formula1>"Default,User Input"</formula1>
    </dataValidation>
    <dataValidation type="list" allowBlank="1" showInputMessage="1" showErrorMessage="1" sqref="B3">
      <formula1>States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INDIRECT(VLOOKUP(B3,'D:\Windows\LTRC Phase 2\Assorted Data and Work\[areawide-non-motorized_exposure_toolv3.xlsm]MPO Lookup List'!#REF!,2,FALSE))</xm:f>
          </x14:formula1>
          <xm:sqref>B4:D4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4" workbookViewId="0">
      <selection activeCell="F5" sqref="F5:H7"/>
    </sheetView>
  </sheetViews>
  <sheetFormatPr defaultRowHeight="15" x14ac:dyDescent="0.25"/>
  <cols>
    <col min="1" max="1" width="37.42578125" bestFit="1" customWidth="1"/>
    <col min="2" max="2" width="16.42578125" bestFit="1" customWidth="1"/>
    <col min="3" max="7" width="15.42578125" customWidth="1"/>
    <col min="8" max="10" width="14.5703125" customWidth="1"/>
  </cols>
  <sheetData>
    <row r="1" spans="1:12" x14ac:dyDescent="0.25">
      <c r="A1" s="1" t="s">
        <v>59</v>
      </c>
      <c r="B1" s="1"/>
    </row>
    <row r="3" spans="1:12" x14ac:dyDescent="0.25">
      <c r="A3" s="2" t="s">
        <v>1</v>
      </c>
      <c r="B3" s="115" t="s">
        <v>2</v>
      </c>
      <c r="C3" s="115"/>
      <c r="D3" s="115"/>
    </row>
    <row r="4" spans="1:12" ht="40.15" customHeight="1" x14ac:dyDescent="0.25">
      <c r="A4" s="4" t="s">
        <v>60</v>
      </c>
      <c r="B4" s="131" t="s">
        <v>53</v>
      </c>
      <c r="C4" s="132"/>
      <c r="D4" s="132"/>
      <c r="F4" s="56"/>
      <c r="J4" s="3"/>
      <c r="K4" s="3"/>
      <c r="L4" s="3"/>
    </row>
    <row r="5" spans="1:12" ht="15.75" customHeight="1" x14ac:dyDescent="0.25">
      <c r="F5" s="3"/>
      <c r="G5" s="3"/>
      <c r="H5" s="3"/>
    </row>
    <row r="6" spans="1:12" ht="15.75" customHeight="1" x14ac:dyDescent="0.25">
      <c r="F6" s="3"/>
      <c r="G6" s="3"/>
      <c r="H6" s="3"/>
    </row>
    <row r="7" spans="1:12" ht="15.75" customHeight="1" thickBot="1" x14ac:dyDescent="0.3">
      <c r="F7" s="3"/>
      <c r="G7" s="3"/>
      <c r="H7" s="3"/>
      <c r="I7" s="3"/>
      <c r="J7" s="3"/>
      <c r="K7" s="3"/>
      <c r="L7" s="3"/>
    </row>
    <row r="8" spans="1:12" ht="15.75" thickTop="1" x14ac:dyDescent="0.25">
      <c r="A8" s="116"/>
      <c r="B8" s="117"/>
      <c r="C8" s="85" t="s">
        <v>3</v>
      </c>
      <c r="D8" s="86"/>
      <c r="E8" s="86"/>
      <c r="F8" s="86"/>
      <c r="G8" s="87"/>
    </row>
    <row r="9" spans="1:12" ht="15.75" thickBot="1" x14ac:dyDescent="0.3">
      <c r="A9" s="118"/>
      <c r="B9" s="119"/>
      <c r="C9" s="6">
        <v>2013</v>
      </c>
      <c r="D9" s="7">
        <v>2014</v>
      </c>
      <c r="E9" s="7">
        <v>2015</v>
      </c>
      <c r="F9" s="7">
        <v>2016</v>
      </c>
      <c r="G9" s="8">
        <v>2017</v>
      </c>
    </row>
    <row r="10" spans="1:12" ht="15.75" thickTop="1" x14ac:dyDescent="0.25">
      <c r="A10" s="130" t="s">
        <v>4</v>
      </c>
      <c r="B10" s="9" t="s">
        <v>5</v>
      </c>
      <c r="C10" s="10" t="s">
        <v>6</v>
      </c>
      <c r="D10" s="11" t="s">
        <v>6</v>
      </c>
      <c r="E10" s="11" t="s">
        <v>6</v>
      </c>
      <c r="F10" s="11" t="s">
        <v>6</v>
      </c>
      <c r="G10" s="12" t="s">
        <v>6</v>
      </c>
    </row>
    <row r="11" spans="1:12" x14ac:dyDescent="0.25">
      <c r="A11" s="112"/>
      <c r="B11" s="13" t="s">
        <v>7</v>
      </c>
      <c r="C11" s="14">
        <f>0.37294</f>
        <v>0.37293999999999999</v>
      </c>
      <c r="D11" s="14">
        <f t="shared" ref="D11:G11" si="0">0.37294</f>
        <v>0.37293999999999999</v>
      </c>
      <c r="E11" s="14">
        <f t="shared" si="0"/>
        <v>0.37293999999999999</v>
      </c>
      <c r="F11" s="14">
        <f t="shared" si="0"/>
        <v>0.37293999999999999</v>
      </c>
      <c r="G11" s="14">
        <f t="shared" si="0"/>
        <v>0.37293999999999999</v>
      </c>
    </row>
    <row r="12" spans="1:12" ht="15.75" thickBot="1" x14ac:dyDescent="0.3">
      <c r="A12" s="114"/>
      <c r="B12" s="16" t="s">
        <v>8</v>
      </c>
      <c r="C12" s="17"/>
      <c r="D12" s="17"/>
      <c r="E12" s="17"/>
      <c r="F12" s="17"/>
      <c r="G12" s="18"/>
    </row>
    <row r="13" spans="1:12" x14ac:dyDescent="0.25">
      <c r="A13" s="111" t="s">
        <v>61</v>
      </c>
      <c r="B13" s="19" t="s">
        <v>5</v>
      </c>
      <c r="C13" s="20" t="s">
        <v>6</v>
      </c>
      <c r="D13" s="21" t="s">
        <v>6</v>
      </c>
      <c r="E13" s="21" t="s">
        <v>6</v>
      </c>
      <c r="F13" s="21" t="s">
        <v>6</v>
      </c>
      <c r="G13" s="22" t="s">
        <v>6</v>
      </c>
    </row>
    <row r="14" spans="1:12" x14ac:dyDescent="0.25">
      <c r="A14" s="112"/>
      <c r="B14" s="13" t="s">
        <v>7</v>
      </c>
      <c r="C14" s="23">
        <f>316057</f>
        <v>316057</v>
      </c>
      <c r="D14" s="23">
        <v>319481</v>
      </c>
      <c r="E14" s="23">
        <v>323719</v>
      </c>
      <c r="F14" s="23">
        <v>326338</v>
      </c>
      <c r="G14" s="24">
        <v>330080</v>
      </c>
    </row>
    <row r="15" spans="1:12" ht="15.75" thickBot="1" x14ac:dyDescent="0.3">
      <c r="A15" s="114"/>
      <c r="B15" s="16" t="s">
        <v>8</v>
      </c>
      <c r="C15" s="17"/>
      <c r="D15" s="17"/>
      <c r="E15" s="17"/>
      <c r="F15" s="17"/>
      <c r="G15" s="18"/>
    </row>
    <row r="16" spans="1:12" x14ac:dyDescent="0.25">
      <c r="A16" s="111" t="s">
        <v>62</v>
      </c>
      <c r="B16" s="19" t="s">
        <v>5</v>
      </c>
      <c r="C16" s="20" t="s">
        <v>6</v>
      </c>
      <c r="D16" s="21" t="s">
        <v>6</v>
      </c>
      <c r="E16" s="21" t="s">
        <v>6</v>
      </c>
      <c r="F16" s="21" t="s">
        <v>6</v>
      </c>
      <c r="G16" s="22" t="s">
        <v>6</v>
      </c>
    </row>
    <row r="17" spans="1:7" x14ac:dyDescent="0.25">
      <c r="A17" s="112"/>
      <c r="B17" s="13" t="s">
        <v>7</v>
      </c>
      <c r="C17" s="14">
        <f>0.81873</f>
        <v>0.81872999999999996</v>
      </c>
      <c r="D17" s="14">
        <f>0.77393</f>
        <v>0.77393000000000001</v>
      </c>
      <c r="E17" s="14">
        <f>0.94558</f>
        <v>0.94557999999999998</v>
      </c>
      <c r="F17" s="14">
        <f>1</f>
        <v>1</v>
      </c>
      <c r="G17" s="15">
        <f>0.97634</f>
        <v>0.97633999999999999</v>
      </c>
    </row>
    <row r="18" spans="1:7" ht="15.75" thickBot="1" x14ac:dyDescent="0.3">
      <c r="A18" s="113"/>
      <c r="B18" s="16" t="s">
        <v>8</v>
      </c>
      <c r="C18" s="17"/>
      <c r="D18" s="17"/>
      <c r="E18" s="17"/>
      <c r="F18" s="17"/>
      <c r="G18" s="18"/>
    </row>
    <row r="19" spans="1:7" ht="15.75" thickBot="1" x14ac:dyDescent="0.3">
      <c r="A19" s="109" t="s">
        <v>11</v>
      </c>
      <c r="B19" s="110"/>
      <c r="C19" s="25">
        <v>35223941.289250791</v>
      </c>
      <c r="D19" s="26">
        <v>33657243.729903623</v>
      </c>
      <c r="E19" s="26">
        <v>41667582.017019659</v>
      </c>
      <c r="F19" s="26">
        <v>44422140.207800001</v>
      </c>
      <c r="G19" s="27">
        <v>43868433.254016317</v>
      </c>
    </row>
    <row r="20" spans="1:7" x14ac:dyDescent="0.25">
      <c r="A20" s="111" t="s">
        <v>12</v>
      </c>
      <c r="B20" s="19" t="s">
        <v>5</v>
      </c>
      <c r="C20" s="20" t="s">
        <v>6</v>
      </c>
      <c r="D20" s="21" t="s">
        <v>6</v>
      </c>
      <c r="E20" s="21" t="s">
        <v>6</v>
      </c>
      <c r="F20" s="21" t="s">
        <v>6</v>
      </c>
      <c r="G20" s="22" t="s">
        <v>6</v>
      </c>
    </row>
    <row r="21" spans="1:7" x14ac:dyDescent="0.25">
      <c r="A21" s="112"/>
      <c r="B21" s="13" t="s">
        <v>7</v>
      </c>
      <c r="C21" s="14">
        <f>0.72164</f>
        <v>0.72163999999999995</v>
      </c>
      <c r="D21" s="14">
        <f t="shared" ref="D21:G21" si="1">0.72164</f>
        <v>0.72163999999999995</v>
      </c>
      <c r="E21" s="14">
        <f t="shared" si="1"/>
        <v>0.72163999999999995</v>
      </c>
      <c r="F21" s="14">
        <f t="shared" si="1"/>
        <v>0.72163999999999995</v>
      </c>
      <c r="G21" s="14">
        <f t="shared" si="1"/>
        <v>0.72163999999999995</v>
      </c>
    </row>
    <row r="22" spans="1:7" ht="15.75" thickBot="1" x14ac:dyDescent="0.3">
      <c r="A22" s="113"/>
      <c r="B22" s="16" t="s">
        <v>8</v>
      </c>
      <c r="C22" s="17"/>
      <c r="D22" s="17"/>
      <c r="E22" s="17"/>
      <c r="F22" s="17"/>
      <c r="G22" s="18"/>
    </row>
    <row r="23" spans="1:7" ht="15.75" thickBot="1" x14ac:dyDescent="0.3">
      <c r="A23" s="109" t="s">
        <v>13</v>
      </c>
      <c r="B23" s="110"/>
      <c r="C23" s="25">
        <v>25419004.991974939</v>
      </c>
      <c r="D23" s="26">
        <v>24288413.365247648</v>
      </c>
      <c r="E23" s="26">
        <v>30068993.886762064</v>
      </c>
      <c r="F23" s="26">
        <v>32056793.259556789</v>
      </c>
      <c r="G23" s="27">
        <v>31657216.173428334</v>
      </c>
    </row>
    <row r="24" spans="1:7" x14ac:dyDescent="0.25">
      <c r="A24" s="111" t="s">
        <v>14</v>
      </c>
      <c r="B24" s="19" t="s">
        <v>5</v>
      </c>
      <c r="C24" s="20" t="s">
        <v>6</v>
      </c>
      <c r="D24" s="21" t="s">
        <v>6</v>
      </c>
      <c r="E24" s="21" t="s">
        <v>6</v>
      </c>
      <c r="F24" s="21" t="s">
        <v>6</v>
      </c>
      <c r="G24" s="22" t="s">
        <v>6</v>
      </c>
    </row>
    <row r="25" spans="1:7" x14ac:dyDescent="0.25">
      <c r="A25" s="112"/>
      <c r="B25" s="13" t="s">
        <v>7</v>
      </c>
      <c r="C25" s="14">
        <f>18.34545</f>
        <v>18.34545</v>
      </c>
      <c r="D25" s="14">
        <f t="shared" ref="D25:G25" si="2">18.34545</f>
        <v>18.34545</v>
      </c>
      <c r="E25" s="14">
        <f t="shared" si="2"/>
        <v>18.34545</v>
      </c>
      <c r="F25" s="14">
        <f t="shared" si="2"/>
        <v>18.34545</v>
      </c>
      <c r="G25" s="14">
        <f t="shared" si="2"/>
        <v>18.34545</v>
      </c>
    </row>
    <row r="26" spans="1:7" ht="15.75" thickBot="1" x14ac:dyDescent="0.3">
      <c r="A26" s="114"/>
      <c r="B26" s="16" t="s">
        <v>8</v>
      </c>
      <c r="C26" s="28"/>
      <c r="D26" s="29"/>
      <c r="E26" s="29"/>
      <c r="F26" s="29"/>
      <c r="G26" s="30"/>
    </row>
    <row r="27" spans="1:7" ht="15.75" thickBot="1" x14ac:dyDescent="0.3">
      <c r="A27" s="109" t="s">
        <v>15</v>
      </c>
      <c r="B27" s="110"/>
      <c r="C27" s="31">
        <v>10769984.2287481</v>
      </c>
      <c r="D27" s="32">
        <v>10290954.699746007</v>
      </c>
      <c r="E27" s="32">
        <v>12740175.70856889</v>
      </c>
      <c r="F27" s="32">
        <v>13582402.534586409</v>
      </c>
      <c r="G27" s="33">
        <v>13413102.480664894</v>
      </c>
    </row>
    <row r="28" spans="1:7" x14ac:dyDescent="0.25">
      <c r="A28" s="98" t="s">
        <v>16</v>
      </c>
      <c r="B28" s="99"/>
      <c r="C28" s="34">
        <v>7</v>
      </c>
      <c r="D28" s="35">
        <v>11</v>
      </c>
      <c r="E28" s="35">
        <v>8</v>
      </c>
      <c r="F28" s="35">
        <v>10</v>
      </c>
      <c r="G28" s="36">
        <v>6</v>
      </c>
    </row>
    <row r="29" spans="1:7" ht="15.75" thickBot="1" x14ac:dyDescent="0.3">
      <c r="A29" s="100" t="s">
        <v>17</v>
      </c>
      <c r="B29" s="101"/>
      <c r="C29" s="37">
        <v>0.64995452651778651</v>
      </c>
      <c r="D29" s="38">
        <v>1.0688998563244567</v>
      </c>
      <c r="E29" s="38">
        <v>0.62793482468372053</v>
      </c>
      <c r="F29" s="38">
        <v>0.73624677037334652</v>
      </c>
      <c r="G29" s="39">
        <v>0.44732380212922795</v>
      </c>
    </row>
    <row r="30" spans="1:7" ht="15.75" thickTop="1" x14ac:dyDescent="0.25"/>
    <row r="31" spans="1:7" ht="15.75" thickBot="1" x14ac:dyDescent="0.3"/>
    <row r="32" spans="1:7" ht="15.75" thickTop="1" x14ac:dyDescent="0.25">
      <c r="A32" s="102"/>
      <c r="B32" s="103"/>
      <c r="C32" s="85" t="s">
        <v>18</v>
      </c>
      <c r="D32" s="86"/>
      <c r="E32" s="86"/>
      <c r="F32" s="86"/>
      <c r="G32" s="87"/>
    </row>
    <row r="33" spans="1:7" ht="15.75" thickBot="1" x14ac:dyDescent="0.3">
      <c r="A33" s="104"/>
      <c r="B33" s="105"/>
      <c r="C33" s="40">
        <v>2013</v>
      </c>
      <c r="D33" s="41">
        <v>2014</v>
      </c>
      <c r="E33" s="41">
        <v>2015</v>
      </c>
      <c r="F33" s="41">
        <v>2016</v>
      </c>
      <c r="G33" s="42">
        <v>2017</v>
      </c>
    </row>
    <row r="34" spans="1:7" ht="15.75" thickTop="1" x14ac:dyDescent="0.25">
      <c r="A34" s="88" t="s">
        <v>4</v>
      </c>
      <c r="B34" s="43" t="s">
        <v>5</v>
      </c>
      <c r="C34" s="10" t="s">
        <v>6</v>
      </c>
      <c r="D34" s="11" t="s">
        <v>6</v>
      </c>
      <c r="E34" s="11" t="s">
        <v>6</v>
      </c>
      <c r="F34" s="11" t="s">
        <v>6</v>
      </c>
      <c r="G34" s="12" t="s">
        <v>6</v>
      </c>
    </row>
    <row r="35" spans="1:7" x14ac:dyDescent="0.25">
      <c r="A35" s="89"/>
      <c r="B35" s="44" t="s">
        <v>7</v>
      </c>
      <c r="C35" s="14">
        <f>0.03757</f>
        <v>3.7569999999999999E-2</v>
      </c>
      <c r="D35" s="14">
        <f t="shared" ref="D35:G35" si="3">0.03757</f>
        <v>3.7569999999999999E-2</v>
      </c>
      <c r="E35" s="14">
        <f t="shared" si="3"/>
        <v>3.7569999999999999E-2</v>
      </c>
      <c r="F35" s="14">
        <f t="shared" si="3"/>
        <v>3.7569999999999999E-2</v>
      </c>
      <c r="G35" s="14">
        <f t="shared" si="3"/>
        <v>3.7569999999999999E-2</v>
      </c>
    </row>
    <row r="36" spans="1:7" ht="15.75" thickBot="1" x14ac:dyDescent="0.3">
      <c r="A36" s="90"/>
      <c r="B36" s="45" t="s">
        <v>8</v>
      </c>
      <c r="C36" s="28"/>
      <c r="D36" s="29"/>
      <c r="E36" s="29"/>
      <c r="F36" s="29"/>
      <c r="G36" s="30"/>
    </row>
    <row r="37" spans="1:7" x14ac:dyDescent="0.25">
      <c r="A37" s="94" t="s">
        <v>61</v>
      </c>
      <c r="B37" s="46" t="s">
        <v>5</v>
      </c>
      <c r="C37" s="20" t="s">
        <v>6</v>
      </c>
      <c r="D37" s="21" t="s">
        <v>6</v>
      </c>
      <c r="E37" s="21" t="s">
        <v>6</v>
      </c>
      <c r="F37" s="21" t="s">
        <v>6</v>
      </c>
      <c r="G37" s="22" t="s">
        <v>6</v>
      </c>
    </row>
    <row r="38" spans="1:7" x14ac:dyDescent="0.25">
      <c r="A38" s="89"/>
      <c r="B38" s="44" t="s">
        <v>7</v>
      </c>
      <c r="C38" s="23">
        <v>316057</v>
      </c>
      <c r="D38" s="23">
        <v>319481</v>
      </c>
      <c r="E38" s="23">
        <v>323719</v>
      </c>
      <c r="F38" s="23">
        <v>326338</v>
      </c>
      <c r="G38" s="24">
        <v>330080</v>
      </c>
    </row>
    <row r="39" spans="1:7" ht="15.75" thickBot="1" x14ac:dyDescent="0.3">
      <c r="A39" s="90"/>
      <c r="B39" s="45" t="s">
        <v>8</v>
      </c>
      <c r="C39" s="28"/>
      <c r="D39" s="29"/>
      <c r="E39" s="29"/>
      <c r="F39" s="29"/>
      <c r="G39" s="30"/>
    </row>
    <row r="40" spans="1:7" x14ac:dyDescent="0.25">
      <c r="A40" s="94" t="s">
        <v>63</v>
      </c>
      <c r="B40" s="46" t="s">
        <v>5</v>
      </c>
      <c r="C40" s="20" t="s">
        <v>6</v>
      </c>
      <c r="D40" s="21" t="s">
        <v>6</v>
      </c>
      <c r="E40" s="21" t="s">
        <v>6</v>
      </c>
      <c r="F40" s="21" t="s">
        <v>6</v>
      </c>
      <c r="G40" s="22" t="s">
        <v>6</v>
      </c>
    </row>
    <row r="41" spans="1:7" x14ac:dyDescent="0.25">
      <c r="A41" s="89"/>
      <c r="B41" s="44" t="s">
        <v>7</v>
      </c>
      <c r="C41" s="14">
        <f>0.78392</f>
        <v>0.78391999999999995</v>
      </c>
      <c r="D41" s="14">
        <f>0.81915</f>
        <v>0.81915000000000004</v>
      </c>
      <c r="E41" s="14">
        <f>0.86921</f>
        <v>0.86921000000000004</v>
      </c>
      <c r="F41" s="14">
        <f>1</f>
        <v>1</v>
      </c>
      <c r="G41" s="15">
        <f>0.97195</f>
        <v>0.97194999999999998</v>
      </c>
    </row>
    <row r="42" spans="1:7" ht="15.75" thickBot="1" x14ac:dyDescent="0.3">
      <c r="A42" s="95"/>
      <c r="B42" s="45" t="s">
        <v>8</v>
      </c>
      <c r="C42" s="28"/>
      <c r="D42" s="29"/>
      <c r="E42" s="29"/>
      <c r="F42" s="29"/>
      <c r="G42" s="30"/>
    </row>
    <row r="43" spans="1:7" ht="15.75" thickBot="1" x14ac:dyDescent="0.3">
      <c r="A43" s="96" t="s">
        <v>19</v>
      </c>
      <c r="B43" s="97"/>
      <c r="C43" s="31">
        <v>3397591.9395428915</v>
      </c>
      <c r="D43" s="32">
        <v>3588744.4200930079</v>
      </c>
      <c r="E43" s="32">
        <v>3858575.1565484693</v>
      </c>
      <c r="F43" s="32">
        <v>4475089.3108999999</v>
      </c>
      <c r="G43" s="33">
        <v>4399437.9245908</v>
      </c>
    </row>
    <row r="44" spans="1:7" x14ac:dyDescent="0.25">
      <c r="A44" s="94" t="s">
        <v>12</v>
      </c>
      <c r="B44" s="46" t="s">
        <v>5</v>
      </c>
      <c r="C44" s="20" t="s">
        <v>6</v>
      </c>
      <c r="D44" s="21" t="s">
        <v>6</v>
      </c>
      <c r="E44" s="21" t="s">
        <v>6</v>
      </c>
      <c r="F44" s="21" t="s">
        <v>6</v>
      </c>
      <c r="G44" s="22" t="s">
        <v>6</v>
      </c>
    </row>
    <row r="45" spans="1:7" x14ac:dyDescent="0.25">
      <c r="A45" s="89"/>
      <c r="B45" s="44" t="s">
        <v>7</v>
      </c>
      <c r="C45" s="14">
        <f>2.7105</f>
        <v>2.7105000000000001</v>
      </c>
      <c r="D45" s="14">
        <f t="shared" ref="D45:G45" si="4">2.7105</f>
        <v>2.7105000000000001</v>
      </c>
      <c r="E45" s="14">
        <f t="shared" si="4"/>
        <v>2.7105000000000001</v>
      </c>
      <c r="F45" s="14">
        <f t="shared" si="4"/>
        <v>2.7105000000000001</v>
      </c>
      <c r="G45" s="14">
        <f t="shared" si="4"/>
        <v>2.7105000000000001</v>
      </c>
    </row>
    <row r="46" spans="1:7" ht="15.75" thickBot="1" x14ac:dyDescent="0.3">
      <c r="A46" s="95"/>
      <c r="B46" s="45" t="s">
        <v>8</v>
      </c>
      <c r="C46" s="28"/>
      <c r="D46" s="29"/>
      <c r="E46" s="29"/>
      <c r="F46" s="29"/>
      <c r="G46" s="30"/>
    </row>
    <row r="47" spans="1:7" ht="15.75" thickBot="1" x14ac:dyDescent="0.3">
      <c r="A47" s="96" t="s">
        <v>20</v>
      </c>
      <c r="B47" s="97"/>
      <c r="C47" s="31">
        <v>9209172.9521310069</v>
      </c>
      <c r="D47" s="32">
        <v>9727291.7506620977</v>
      </c>
      <c r="E47" s="32">
        <v>10458667.961824626</v>
      </c>
      <c r="F47" s="32">
        <v>12129729.57719445</v>
      </c>
      <c r="G47" s="33">
        <v>11924676.494603364</v>
      </c>
    </row>
    <row r="48" spans="1:7" x14ac:dyDescent="0.25">
      <c r="A48" s="94" t="s">
        <v>14</v>
      </c>
      <c r="B48" s="46" t="s">
        <v>5</v>
      </c>
      <c r="C48" s="20" t="s">
        <v>6</v>
      </c>
      <c r="D48" s="21" t="s">
        <v>6</v>
      </c>
      <c r="E48" s="21" t="s">
        <v>6</v>
      </c>
      <c r="F48" s="21" t="s">
        <v>6</v>
      </c>
      <c r="G48" s="22" t="s">
        <v>6</v>
      </c>
    </row>
    <row r="49" spans="1:7" x14ac:dyDescent="0.25">
      <c r="A49" s="89"/>
      <c r="B49" s="44" t="s">
        <v>7</v>
      </c>
      <c r="C49" s="14">
        <f>22.26913</f>
        <v>22.269130000000001</v>
      </c>
      <c r="D49" s="14">
        <f t="shared" ref="D49:G49" si="5">22.26913</f>
        <v>22.269130000000001</v>
      </c>
      <c r="E49" s="14">
        <f t="shared" si="5"/>
        <v>22.269130000000001</v>
      </c>
      <c r="F49" s="14">
        <f t="shared" si="5"/>
        <v>22.269130000000001</v>
      </c>
      <c r="G49" s="14">
        <f t="shared" si="5"/>
        <v>22.269130000000001</v>
      </c>
    </row>
    <row r="50" spans="1:7" ht="15.75" thickBot="1" x14ac:dyDescent="0.3">
      <c r="A50" s="90"/>
      <c r="B50" s="45" t="s">
        <v>8</v>
      </c>
      <c r="C50" s="28"/>
      <c r="D50" s="29"/>
      <c r="E50" s="29"/>
      <c r="F50" s="29"/>
      <c r="G50" s="30"/>
    </row>
    <row r="51" spans="1:7" ht="15.75" thickBot="1" x14ac:dyDescent="0.3">
      <c r="A51" s="96" t="s">
        <v>21</v>
      </c>
      <c r="B51" s="97"/>
      <c r="C51" s="31">
        <v>1261023.6098105465</v>
      </c>
      <c r="D51" s="32">
        <v>1331970.2671304301</v>
      </c>
      <c r="E51" s="32">
        <v>1432118.5295991369</v>
      </c>
      <c r="F51" s="32">
        <v>1660939.0937673752</v>
      </c>
      <c r="G51" s="33">
        <v>1632860.9178273787</v>
      </c>
    </row>
    <row r="52" spans="1:7" x14ac:dyDescent="0.25">
      <c r="A52" s="77" t="s">
        <v>16</v>
      </c>
      <c r="B52" s="78"/>
      <c r="C52" s="34">
        <v>0</v>
      </c>
      <c r="D52" s="35">
        <v>5</v>
      </c>
      <c r="E52" s="35">
        <v>5</v>
      </c>
      <c r="F52" s="35">
        <v>2</v>
      </c>
      <c r="G52" s="36">
        <v>2</v>
      </c>
    </row>
    <row r="53" spans="1:7" ht="15.75" thickBot="1" x14ac:dyDescent="0.3">
      <c r="A53" s="79" t="s">
        <v>17</v>
      </c>
      <c r="B53" s="80"/>
      <c r="C53" s="37">
        <v>0</v>
      </c>
      <c r="D53" s="38">
        <v>3.7538375468184433</v>
      </c>
      <c r="E53" s="38">
        <v>3.4913311270398446</v>
      </c>
      <c r="F53" s="38">
        <v>1.2041380731568911</v>
      </c>
      <c r="G53" s="39">
        <v>1.2248440624453933</v>
      </c>
    </row>
    <row r="54" spans="1:7" ht="15.75" thickTop="1" x14ac:dyDescent="0.25"/>
    <row r="55" spans="1:7" ht="15.75" thickBot="1" x14ac:dyDescent="0.3"/>
    <row r="56" spans="1:7" ht="15.75" thickTop="1" x14ac:dyDescent="0.25">
      <c r="A56" s="81"/>
      <c r="B56" s="82"/>
      <c r="C56" s="85" t="s">
        <v>22</v>
      </c>
      <c r="D56" s="86"/>
      <c r="E56" s="86"/>
      <c r="F56" s="86"/>
      <c r="G56" s="87"/>
    </row>
    <row r="57" spans="1:7" ht="15.75" thickBot="1" x14ac:dyDescent="0.3">
      <c r="A57" s="83"/>
      <c r="B57" s="84"/>
      <c r="C57" s="6">
        <v>2013</v>
      </c>
      <c r="D57" s="7">
        <v>2014</v>
      </c>
      <c r="E57" s="7">
        <v>2015</v>
      </c>
      <c r="F57" s="7">
        <v>2016</v>
      </c>
      <c r="G57" s="8">
        <v>2017</v>
      </c>
    </row>
    <row r="58" spans="1:7" x14ac:dyDescent="0.25">
      <c r="A58" s="91" t="s">
        <v>23</v>
      </c>
      <c r="B58" s="92"/>
      <c r="C58" s="47">
        <v>38621533.228793681</v>
      </c>
      <c r="D58" s="48">
        <v>37245988.149996631</v>
      </c>
      <c r="E58" s="48">
        <v>45526157.17356813</v>
      </c>
      <c r="F58" s="48">
        <v>48897229.518700004</v>
      </c>
      <c r="G58" s="49">
        <v>48267871.178607121</v>
      </c>
    </row>
    <row r="59" spans="1:7" x14ac:dyDescent="0.25">
      <c r="A59" s="93" t="s">
        <v>24</v>
      </c>
      <c r="B59" s="74"/>
      <c r="C59" s="50">
        <v>34628177.944105946</v>
      </c>
      <c r="D59" s="51">
        <v>34015705.115909748</v>
      </c>
      <c r="E59" s="51">
        <v>40527661.848586693</v>
      </c>
      <c r="F59" s="51">
        <v>44186522.836751238</v>
      </c>
      <c r="G59" s="52">
        <v>43581892.6680317</v>
      </c>
    </row>
    <row r="60" spans="1:7" x14ac:dyDescent="0.25">
      <c r="A60" s="73" t="s">
        <v>25</v>
      </c>
      <c r="B60" s="74"/>
      <c r="C60" s="50">
        <v>12031007.838558646</v>
      </c>
      <c r="D60" s="51">
        <v>11622924.966876438</v>
      </c>
      <c r="E60" s="51">
        <v>14172294.238168027</v>
      </c>
      <c r="F60" s="51">
        <v>15243341.628353784</v>
      </c>
      <c r="G60" s="52">
        <v>15045963.398492273</v>
      </c>
    </row>
    <row r="61" spans="1:7" x14ac:dyDescent="0.25">
      <c r="A61" s="73" t="s">
        <v>26</v>
      </c>
      <c r="B61" s="74"/>
      <c r="C61" s="53">
        <v>7</v>
      </c>
      <c r="D61" s="54">
        <v>16</v>
      </c>
      <c r="E61" s="54">
        <v>13</v>
      </c>
      <c r="F61" s="54">
        <v>12</v>
      </c>
      <c r="G61" s="55">
        <v>8</v>
      </c>
    </row>
    <row r="62" spans="1:7" ht="15.75" thickBot="1" x14ac:dyDescent="0.3">
      <c r="A62" s="75" t="s">
        <v>27</v>
      </c>
      <c r="B62" s="76"/>
      <c r="C62" s="37">
        <v>0.58182989271816676</v>
      </c>
      <c r="D62" s="38">
        <v>1.3765898038228379</v>
      </c>
      <c r="E62" s="38">
        <v>0.91728267713981904</v>
      </c>
      <c r="F62" s="38">
        <v>0.78722896150795962</v>
      </c>
      <c r="G62" s="39">
        <v>0.53170407159183075</v>
      </c>
    </row>
    <row r="63" spans="1:7" ht="15.75" thickTop="1" x14ac:dyDescent="0.25"/>
  </sheetData>
  <mergeCells count="33">
    <mergeCell ref="A10:A12"/>
    <mergeCell ref="B3:D3"/>
    <mergeCell ref="B4:D4"/>
    <mergeCell ref="A8:B9"/>
    <mergeCell ref="C8:G8"/>
    <mergeCell ref="A24:A26"/>
    <mergeCell ref="A27:B27"/>
    <mergeCell ref="A28:B28"/>
    <mergeCell ref="A29:B29"/>
    <mergeCell ref="A32:B33"/>
    <mergeCell ref="A13:A15"/>
    <mergeCell ref="A16:A18"/>
    <mergeCell ref="A19:B19"/>
    <mergeCell ref="A20:A22"/>
    <mergeCell ref="A23:B23"/>
    <mergeCell ref="C32:G32"/>
    <mergeCell ref="C56:G56"/>
    <mergeCell ref="A58:B58"/>
    <mergeCell ref="A37:A39"/>
    <mergeCell ref="A40:A42"/>
    <mergeCell ref="A43:B43"/>
    <mergeCell ref="A44:A46"/>
    <mergeCell ref="A47:B47"/>
    <mergeCell ref="A48:A50"/>
    <mergeCell ref="A34:A36"/>
    <mergeCell ref="A59:B59"/>
    <mergeCell ref="A60:B60"/>
    <mergeCell ref="A61:B61"/>
    <mergeCell ref="A62:B62"/>
    <mergeCell ref="A51:B51"/>
    <mergeCell ref="A52:B52"/>
    <mergeCell ref="A53:B53"/>
    <mergeCell ref="A56:B57"/>
  </mergeCells>
  <conditionalFormatting sqref="C14:G14 C17:G17 C38:G38 C41:G41 C11:G11 C21:G21 C25:G25 C35:G35 C45:G45 C49:G49">
    <cfRule type="expression" dxfId="54" priority="11">
      <formula>C10="Default"</formula>
    </cfRule>
  </conditionalFormatting>
  <conditionalFormatting sqref="C12:G12 C15:G15 C18:G18 C22:G22 C26:G26 C36:G36 C39:G39 C42:G42 C46:G46">
    <cfRule type="expression" dxfId="53" priority="10">
      <formula>C10="User Input"</formula>
    </cfRule>
  </conditionalFormatting>
  <conditionalFormatting sqref="C12:G12 C15:G15 C18:G18 C22:G22 C26:G26 C36:G36 C39:G39 C42:G42 C46:G46">
    <cfRule type="expression" dxfId="52" priority="9">
      <formula>AND(C10="User Input",OR(ISBLANK(C12)=TRUE,ISTEXT(C12)=TRUE,C12&lt;0))</formula>
    </cfRule>
  </conditionalFormatting>
  <conditionalFormatting sqref="C50:G50">
    <cfRule type="expression" dxfId="51" priority="7">
      <formula>AND(C48="User Input",OR(ISBLANK(C50)=TRUE,ISTEXT(C50)=TRUE,C50&lt;0))</formula>
    </cfRule>
    <cfRule type="expression" dxfId="50" priority="8">
      <formula>C48="User Input"</formula>
    </cfRule>
  </conditionalFormatting>
  <conditionalFormatting sqref="C19:G19 C43:G43">
    <cfRule type="expression" dxfId="49" priority="4">
      <formula>AND(C16="User Input",OR(ISBLANK(C18)=TRUE,ISTEXT(C18)=TRUE,C18&lt;0))</formula>
    </cfRule>
    <cfRule type="expression" dxfId="48" priority="5">
      <formula>AND(C13="User Input",OR(ISBLANK(C15)=TRUE,ISTEXT(C15)=TRUE,C15&lt;0))</formula>
    </cfRule>
    <cfRule type="expression" dxfId="47" priority="6">
      <formula>AND(C10="User Input",OR(ISBLANK(C12)=TRUE,ISTEXT(C12)=TRUE,C12&lt;0))</formula>
    </cfRule>
  </conditionalFormatting>
  <conditionalFormatting sqref="C23:G23 C27:G27 C47:G47 C51:G51">
    <cfRule type="expression" dxfId="46" priority="3">
      <formula>AND(C20="User Input",OR(ISBLANK(C22)=TRUE,ISTEXT(C22)=TRUE,C22&lt;0))</formula>
    </cfRule>
  </conditionalFormatting>
  <conditionalFormatting sqref="C42">
    <cfRule type="expression" dxfId="45" priority="2">
      <formula>AND(C40="User Input",OR(ISBLANK(C42)=TRUE,ISTEXT(C42)=TRUE,C42&lt;0))</formula>
    </cfRule>
  </conditionalFormatting>
  <conditionalFormatting sqref="C53:G53 C29:G29">
    <cfRule type="expression" dxfId="44" priority="1">
      <formula>ISERROR(C29)</formula>
    </cfRule>
  </conditionalFormatting>
  <dataValidations count="2">
    <dataValidation type="list" allowBlank="1" showInputMessage="1" showErrorMessage="1" sqref="C48:G48 C40:G40 C37:G37 C34:G34 C44:G44 C24:G24 C16:G16 C13:G13 C10:G10 C20:G20">
      <formula1>"Default,User Input"</formula1>
    </dataValidation>
    <dataValidation type="list" allowBlank="1" showInputMessage="1" showErrorMessage="1" sqref="B3">
      <formula1>States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INDIRECT(VLOOKUP(B3,'D:\Windows\LTRC Phase 2\Assorted Data and Work\[areawide-non-motorized_exposure_toolv3.xlsm]MPO Lookup List'!#REF!,2,FALSE))</xm:f>
          </x14:formula1>
          <xm:sqref>B4:D4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F5" sqref="F5:H7"/>
    </sheetView>
  </sheetViews>
  <sheetFormatPr defaultRowHeight="15" x14ac:dyDescent="0.25"/>
  <cols>
    <col min="1" max="1" width="37.42578125" bestFit="1" customWidth="1"/>
    <col min="2" max="2" width="16.42578125" bestFit="1" customWidth="1"/>
    <col min="3" max="7" width="15.42578125" customWidth="1"/>
    <col min="8" max="10" width="14.5703125" customWidth="1"/>
  </cols>
  <sheetData>
    <row r="1" spans="1:12" x14ac:dyDescent="0.25">
      <c r="A1" s="1" t="s">
        <v>59</v>
      </c>
      <c r="B1" s="1"/>
    </row>
    <row r="3" spans="1:12" x14ac:dyDescent="0.25">
      <c r="A3" s="2" t="s">
        <v>1</v>
      </c>
      <c r="B3" s="115" t="s">
        <v>2</v>
      </c>
      <c r="C3" s="115"/>
      <c r="D3" s="115"/>
    </row>
    <row r="4" spans="1:12" ht="40.15" customHeight="1" x14ac:dyDescent="0.25">
      <c r="A4" s="4" t="s">
        <v>60</v>
      </c>
      <c r="B4" s="131" t="s">
        <v>54</v>
      </c>
      <c r="C4" s="132"/>
      <c r="D4" s="132"/>
      <c r="F4" s="56"/>
      <c r="J4" s="3"/>
      <c r="K4" s="3"/>
      <c r="L4" s="3"/>
    </row>
    <row r="5" spans="1:12" ht="15.75" customHeight="1" x14ac:dyDescent="0.25">
      <c r="F5" s="3"/>
      <c r="G5" s="3"/>
      <c r="H5" s="3"/>
    </row>
    <row r="6" spans="1:12" ht="15.75" customHeight="1" x14ac:dyDescent="0.25">
      <c r="F6" s="3"/>
      <c r="G6" s="3"/>
      <c r="H6" s="3"/>
    </row>
    <row r="7" spans="1:12" ht="15.75" customHeight="1" thickBot="1" x14ac:dyDescent="0.3">
      <c r="F7" s="3"/>
      <c r="G7" s="3"/>
      <c r="H7" s="3"/>
      <c r="I7" s="3"/>
      <c r="J7" s="3"/>
      <c r="K7" s="3"/>
      <c r="L7" s="3"/>
    </row>
    <row r="8" spans="1:12" ht="15.75" thickTop="1" x14ac:dyDescent="0.25">
      <c r="A8" s="116"/>
      <c r="B8" s="117"/>
      <c r="C8" s="85" t="s">
        <v>3</v>
      </c>
      <c r="D8" s="86"/>
      <c r="E8" s="86"/>
      <c r="F8" s="86"/>
      <c r="G8" s="87"/>
    </row>
    <row r="9" spans="1:12" ht="15.75" thickBot="1" x14ac:dyDescent="0.3">
      <c r="A9" s="118"/>
      <c r="B9" s="119"/>
      <c r="C9" s="6">
        <v>2013</v>
      </c>
      <c r="D9" s="7">
        <v>2014</v>
      </c>
      <c r="E9" s="7">
        <v>2015</v>
      </c>
      <c r="F9" s="7">
        <v>2016</v>
      </c>
      <c r="G9" s="8">
        <v>2017</v>
      </c>
    </row>
    <row r="10" spans="1:12" ht="15.75" thickTop="1" x14ac:dyDescent="0.25">
      <c r="A10" s="130" t="s">
        <v>4</v>
      </c>
      <c r="B10" s="9" t="s">
        <v>5</v>
      </c>
      <c r="C10" s="10" t="s">
        <v>6</v>
      </c>
      <c r="D10" s="11" t="s">
        <v>6</v>
      </c>
      <c r="E10" s="11" t="s">
        <v>6</v>
      </c>
      <c r="F10" s="11" t="s">
        <v>6</v>
      </c>
      <c r="G10" s="12" t="s">
        <v>6</v>
      </c>
    </row>
    <row r="11" spans="1:12" x14ac:dyDescent="0.25">
      <c r="A11" s="112"/>
      <c r="B11" s="13" t="s">
        <v>7</v>
      </c>
      <c r="C11" s="14">
        <f>0.3613</f>
        <v>0.36130000000000001</v>
      </c>
      <c r="D11" s="14">
        <f t="shared" ref="D11:G11" si="0">0.3613</f>
        <v>0.36130000000000001</v>
      </c>
      <c r="E11" s="14">
        <f t="shared" si="0"/>
        <v>0.36130000000000001</v>
      </c>
      <c r="F11" s="14">
        <f t="shared" si="0"/>
        <v>0.36130000000000001</v>
      </c>
      <c r="G11" s="14">
        <f t="shared" si="0"/>
        <v>0.36130000000000001</v>
      </c>
    </row>
    <row r="12" spans="1:12" ht="15.75" thickBot="1" x14ac:dyDescent="0.3">
      <c r="A12" s="114"/>
      <c r="B12" s="16" t="s">
        <v>8</v>
      </c>
      <c r="C12" s="17"/>
      <c r="D12" s="17"/>
      <c r="E12" s="17"/>
      <c r="F12" s="17"/>
      <c r="G12" s="18"/>
    </row>
    <row r="13" spans="1:12" x14ac:dyDescent="0.25">
      <c r="A13" s="111" t="s">
        <v>61</v>
      </c>
      <c r="B13" s="19" t="s">
        <v>5</v>
      </c>
      <c r="C13" s="20" t="s">
        <v>6</v>
      </c>
      <c r="D13" s="21" t="s">
        <v>6</v>
      </c>
      <c r="E13" s="21" t="s">
        <v>6</v>
      </c>
      <c r="F13" s="21" t="s">
        <v>6</v>
      </c>
      <c r="G13" s="22" t="s">
        <v>6</v>
      </c>
    </row>
    <row r="14" spans="1:12" x14ac:dyDescent="0.25">
      <c r="A14" s="112"/>
      <c r="B14" s="13" t="s">
        <v>7</v>
      </c>
      <c r="C14" s="23">
        <f>375472</f>
        <v>375472</v>
      </c>
      <c r="D14" s="23">
        <v>377421</v>
      </c>
      <c r="E14" s="23">
        <f>378120</f>
        <v>378120</v>
      </c>
      <c r="F14" s="23">
        <v>377821</v>
      </c>
      <c r="G14" s="24">
        <f>376744</f>
        <v>376744</v>
      </c>
    </row>
    <row r="15" spans="1:12" ht="15.75" thickBot="1" x14ac:dyDescent="0.3">
      <c r="A15" s="114"/>
      <c r="B15" s="16" t="s">
        <v>8</v>
      </c>
      <c r="C15" s="17"/>
      <c r="D15" s="17"/>
      <c r="E15" s="17"/>
      <c r="F15" s="17"/>
      <c r="G15" s="18"/>
    </row>
    <row r="16" spans="1:12" x14ac:dyDescent="0.25">
      <c r="A16" s="111" t="s">
        <v>62</v>
      </c>
      <c r="B16" s="19" t="s">
        <v>5</v>
      </c>
      <c r="C16" s="20" t="s">
        <v>6</v>
      </c>
      <c r="D16" s="21" t="s">
        <v>6</v>
      </c>
      <c r="E16" s="21" t="s">
        <v>6</v>
      </c>
      <c r="F16" s="21" t="s">
        <v>6</v>
      </c>
      <c r="G16" s="22" t="s">
        <v>6</v>
      </c>
    </row>
    <row r="17" spans="1:7" x14ac:dyDescent="0.25">
      <c r="A17" s="112"/>
      <c r="B17" s="13" t="s">
        <v>7</v>
      </c>
      <c r="C17" s="14">
        <f>1.24001</f>
        <v>1.2400100000000001</v>
      </c>
      <c r="D17" s="14">
        <f>1.27736</f>
        <v>1.2773600000000001</v>
      </c>
      <c r="E17" s="14">
        <f>0.99121</f>
        <v>0.99121000000000004</v>
      </c>
      <c r="F17" s="14">
        <f>1</f>
        <v>1</v>
      </c>
      <c r="G17" s="15">
        <f>0.92661</f>
        <v>0.92661000000000004</v>
      </c>
    </row>
    <row r="18" spans="1:7" ht="15.75" thickBot="1" x14ac:dyDescent="0.3">
      <c r="A18" s="113"/>
      <c r="B18" s="16" t="s">
        <v>8</v>
      </c>
      <c r="C18" s="17"/>
      <c r="D18" s="17"/>
      <c r="E18" s="17"/>
      <c r="F18" s="17"/>
      <c r="G18" s="18"/>
    </row>
    <row r="19" spans="1:7" ht="15.75" thickBot="1" x14ac:dyDescent="0.3">
      <c r="A19" s="109" t="s">
        <v>11</v>
      </c>
      <c r="B19" s="110"/>
      <c r="C19" s="25">
        <v>61399321.159182638</v>
      </c>
      <c r="D19" s="26">
        <v>63577024.627605729</v>
      </c>
      <c r="E19" s="26">
        <v>49426077.9875874</v>
      </c>
      <c r="F19" s="26">
        <v>49824955.464500003</v>
      </c>
      <c r="G19" s="27">
        <v>46036696.64277108</v>
      </c>
    </row>
    <row r="20" spans="1:7" x14ac:dyDescent="0.25">
      <c r="A20" s="111" t="s">
        <v>12</v>
      </c>
      <c r="B20" s="19" t="s">
        <v>5</v>
      </c>
      <c r="C20" s="20" t="s">
        <v>6</v>
      </c>
      <c r="D20" s="21" t="s">
        <v>6</v>
      </c>
      <c r="E20" s="21" t="s">
        <v>6</v>
      </c>
      <c r="F20" s="21" t="s">
        <v>6</v>
      </c>
      <c r="G20" s="22" t="s">
        <v>6</v>
      </c>
    </row>
    <row r="21" spans="1:7" x14ac:dyDescent="0.25">
      <c r="A21" s="112"/>
      <c r="B21" s="13" t="s">
        <v>7</v>
      </c>
      <c r="C21" s="14">
        <f>0.83997</f>
        <v>0.83996999999999999</v>
      </c>
      <c r="D21" s="14">
        <f t="shared" ref="D21:G21" si="1">0.83997</f>
        <v>0.83996999999999999</v>
      </c>
      <c r="E21" s="14">
        <f t="shared" si="1"/>
        <v>0.83996999999999999</v>
      </c>
      <c r="F21" s="14">
        <f t="shared" si="1"/>
        <v>0.83996999999999999</v>
      </c>
      <c r="G21" s="14">
        <f t="shared" si="1"/>
        <v>0.83996999999999999</v>
      </c>
    </row>
    <row r="22" spans="1:7" ht="15.75" thickBot="1" x14ac:dyDescent="0.3">
      <c r="A22" s="113"/>
      <c r="B22" s="16" t="s">
        <v>8</v>
      </c>
      <c r="C22" s="17"/>
      <c r="D22" s="17"/>
      <c r="E22" s="17"/>
      <c r="F22" s="17"/>
      <c r="G22" s="18"/>
    </row>
    <row r="23" spans="1:7" ht="15.75" thickBot="1" x14ac:dyDescent="0.3">
      <c r="A23" s="109" t="s">
        <v>13</v>
      </c>
      <c r="B23" s="110"/>
      <c r="C23" s="25">
        <v>51573587.794078641</v>
      </c>
      <c r="D23" s="26">
        <v>53402793.376449987</v>
      </c>
      <c r="E23" s="26">
        <v>41516422.72723379</v>
      </c>
      <c r="F23" s="26">
        <v>41851467.84151607</v>
      </c>
      <c r="G23" s="27">
        <v>38669444.079028428</v>
      </c>
    </row>
    <row r="24" spans="1:7" x14ac:dyDescent="0.25">
      <c r="A24" s="111" t="s">
        <v>14</v>
      </c>
      <c r="B24" s="19" t="s">
        <v>5</v>
      </c>
      <c r="C24" s="20" t="s">
        <v>6</v>
      </c>
      <c r="D24" s="21" t="s">
        <v>6</v>
      </c>
      <c r="E24" s="21" t="s">
        <v>6</v>
      </c>
      <c r="F24" s="21" t="s">
        <v>6</v>
      </c>
      <c r="G24" s="22" t="s">
        <v>6</v>
      </c>
    </row>
    <row r="25" spans="1:7" x14ac:dyDescent="0.25">
      <c r="A25" s="112"/>
      <c r="B25" s="13" t="s">
        <v>7</v>
      </c>
      <c r="C25" s="14">
        <f>17.23612</f>
        <v>17.23612</v>
      </c>
      <c r="D25" s="14">
        <f t="shared" ref="D25:G25" si="2">17.23612</f>
        <v>17.23612</v>
      </c>
      <c r="E25" s="14">
        <f t="shared" si="2"/>
        <v>17.23612</v>
      </c>
      <c r="F25" s="14">
        <f t="shared" si="2"/>
        <v>17.23612</v>
      </c>
      <c r="G25" s="14">
        <f t="shared" si="2"/>
        <v>17.23612</v>
      </c>
    </row>
    <row r="26" spans="1:7" ht="15.75" thickBot="1" x14ac:dyDescent="0.3">
      <c r="A26" s="114"/>
      <c r="B26" s="16" t="s">
        <v>8</v>
      </c>
      <c r="C26" s="28"/>
      <c r="D26" s="29"/>
      <c r="E26" s="29"/>
      <c r="F26" s="29"/>
      <c r="G26" s="30"/>
    </row>
    <row r="27" spans="1:7" ht="15.75" thickBot="1" x14ac:dyDescent="0.3">
      <c r="A27" s="109" t="s">
        <v>15</v>
      </c>
      <c r="B27" s="110"/>
      <c r="C27" s="31">
        <v>17638101.123636853</v>
      </c>
      <c r="D27" s="32">
        <v>18263687.095406126</v>
      </c>
      <c r="E27" s="32">
        <v>14198563.522056917</v>
      </c>
      <c r="F27" s="32">
        <v>14313148.523012964</v>
      </c>
      <c r="G27" s="33">
        <v>13224900.462306658</v>
      </c>
    </row>
    <row r="28" spans="1:7" x14ac:dyDescent="0.25">
      <c r="A28" s="98" t="s">
        <v>16</v>
      </c>
      <c r="B28" s="99"/>
      <c r="C28" s="34">
        <v>5</v>
      </c>
      <c r="D28" s="35">
        <v>10</v>
      </c>
      <c r="E28" s="35">
        <v>10</v>
      </c>
      <c r="F28" s="35">
        <v>12</v>
      </c>
      <c r="G28" s="36">
        <v>9</v>
      </c>
    </row>
    <row r="29" spans="1:7" ht="15.75" thickBot="1" x14ac:dyDescent="0.3">
      <c r="A29" s="100" t="s">
        <v>17</v>
      </c>
      <c r="B29" s="101"/>
      <c r="C29" s="37">
        <v>0.28347722722257729</v>
      </c>
      <c r="D29" s="38">
        <v>0.54753456669301481</v>
      </c>
      <c r="E29" s="38">
        <v>0.70429659905140318</v>
      </c>
      <c r="F29" s="38">
        <v>0.83838995876456968</v>
      </c>
      <c r="G29" s="39">
        <v>0.68053442259558905</v>
      </c>
    </row>
    <row r="30" spans="1:7" ht="15.75" thickTop="1" x14ac:dyDescent="0.25"/>
    <row r="31" spans="1:7" ht="15.75" thickBot="1" x14ac:dyDescent="0.3"/>
    <row r="32" spans="1:7" ht="15.75" thickTop="1" x14ac:dyDescent="0.25">
      <c r="A32" s="102"/>
      <c r="B32" s="103"/>
      <c r="C32" s="85" t="s">
        <v>18</v>
      </c>
      <c r="D32" s="86"/>
      <c r="E32" s="86"/>
      <c r="F32" s="86"/>
      <c r="G32" s="87"/>
    </row>
    <row r="33" spans="1:7" ht="15.75" thickBot="1" x14ac:dyDescent="0.3">
      <c r="A33" s="104"/>
      <c r="B33" s="105"/>
      <c r="C33" s="40">
        <v>2013</v>
      </c>
      <c r="D33" s="41">
        <v>2014</v>
      </c>
      <c r="E33" s="41">
        <v>2015</v>
      </c>
      <c r="F33" s="41">
        <v>2016</v>
      </c>
      <c r="G33" s="42">
        <v>2017</v>
      </c>
    </row>
    <row r="34" spans="1:7" ht="15.75" thickTop="1" x14ac:dyDescent="0.25">
      <c r="A34" s="88" t="s">
        <v>4</v>
      </c>
      <c r="B34" s="43" t="s">
        <v>5</v>
      </c>
      <c r="C34" s="10" t="s">
        <v>6</v>
      </c>
      <c r="D34" s="11" t="s">
        <v>6</v>
      </c>
      <c r="E34" s="11" t="s">
        <v>6</v>
      </c>
      <c r="F34" s="11" t="s">
        <v>6</v>
      </c>
      <c r="G34" s="12" t="s">
        <v>6</v>
      </c>
    </row>
    <row r="35" spans="1:7" x14ac:dyDescent="0.25">
      <c r="A35" s="89"/>
      <c r="B35" s="44" t="s">
        <v>7</v>
      </c>
      <c r="C35" s="14">
        <f>0.02249</f>
        <v>2.249E-2</v>
      </c>
      <c r="D35" s="14">
        <f t="shared" ref="D35:G35" si="3">0.02249</f>
        <v>2.249E-2</v>
      </c>
      <c r="E35" s="14">
        <f t="shared" si="3"/>
        <v>2.249E-2</v>
      </c>
      <c r="F35" s="14">
        <f t="shared" si="3"/>
        <v>2.249E-2</v>
      </c>
      <c r="G35" s="14">
        <f t="shared" si="3"/>
        <v>2.249E-2</v>
      </c>
    </row>
    <row r="36" spans="1:7" ht="15.75" thickBot="1" x14ac:dyDescent="0.3">
      <c r="A36" s="90"/>
      <c r="B36" s="45" t="s">
        <v>8</v>
      </c>
      <c r="C36" s="28"/>
      <c r="D36" s="29"/>
      <c r="E36" s="29"/>
      <c r="F36" s="29"/>
      <c r="G36" s="30"/>
    </row>
    <row r="37" spans="1:7" x14ac:dyDescent="0.25">
      <c r="A37" s="94" t="s">
        <v>61</v>
      </c>
      <c r="B37" s="46" t="s">
        <v>5</v>
      </c>
      <c r="C37" s="20" t="s">
        <v>6</v>
      </c>
      <c r="D37" s="21" t="s">
        <v>6</v>
      </c>
      <c r="E37" s="21" t="s">
        <v>6</v>
      </c>
      <c r="F37" s="21" t="s">
        <v>6</v>
      </c>
      <c r="G37" s="22" t="s">
        <v>6</v>
      </c>
    </row>
    <row r="38" spans="1:7" x14ac:dyDescent="0.25">
      <c r="A38" s="89"/>
      <c r="B38" s="44" t="s">
        <v>7</v>
      </c>
      <c r="C38" s="23">
        <v>375472</v>
      </c>
      <c r="D38" s="23">
        <v>377421</v>
      </c>
      <c r="E38" s="23">
        <v>378120</v>
      </c>
      <c r="F38" s="23">
        <v>377821</v>
      </c>
      <c r="G38" s="24">
        <v>376744</v>
      </c>
    </row>
    <row r="39" spans="1:7" ht="15.75" thickBot="1" x14ac:dyDescent="0.3">
      <c r="A39" s="90"/>
      <c r="B39" s="45" t="s">
        <v>8</v>
      </c>
      <c r="C39" s="28"/>
      <c r="D39" s="29"/>
      <c r="E39" s="29"/>
      <c r="F39" s="29"/>
      <c r="G39" s="30"/>
    </row>
    <row r="40" spans="1:7" x14ac:dyDescent="0.25">
      <c r="A40" s="94" t="s">
        <v>63</v>
      </c>
      <c r="B40" s="46" t="s">
        <v>5</v>
      </c>
      <c r="C40" s="20" t="s">
        <v>6</v>
      </c>
      <c r="D40" s="21" t="s">
        <v>6</v>
      </c>
      <c r="E40" s="21" t="s">
        <v>6</v>
      </c>
      <c r="F40" s="21" t="s">
        <v>6</v>
      </c>
      <c r="G40" s="22" t="s">
        <v>6</v>
      </c>
    </row>
    <row r="41" spans="1:7" x14ac:dyDescent="0.25">
      <c r="A41" s="89"/>
      <c r="B41" s="44" t="s">
        <v>7</v>
      </c>
      <c r="C41" s="14">
        <f>1.13364</f>
        <v>1.13364</v>
      </c>
      <c r="D41" s="14">
        <f>1.21198</f>
        <v>1.2119800000000001</v>
      </c>
      <c r="E41" s="14">
        <v>1.1612899999999999</v>
      </c>
      <c r="F41" s="14">
        <f>1</f>
        <v>1</v>
      </c>
      <c r="G41" s="15">
        <f>1.54838</f>
        <v>1.5483800000000001</v>
      </c>
    </row>
    <row r="42" spans="1:7" ht="15.75" thickBot="1" x14ac:dyDescent="0.3">
      <c r="A42" s="95"/>
      <c r="B42" s="45" t="s">
        <v>8</v>
      </c>
      <c r="C42" s="28"/>
      <c r="D42" s="29"/>
      <c r="E42" s="29"/>
      <c r="F42" s="29"/>
      <c r="G42" s="30"/>
    </row>
    <row r="43" spans="1:7" ht="15.75" thickBot="1" x14ac:dyDescent="0.3">
      <c r="A43" s="96" t="s">
        <v>19</v>
      </c>
      <c r="B43" s="97"/>
      <c r="C43" s="31">
        <v>3494097.643447008</v>
      </c>
      <c r="D43" s="32">
        <v>3754947.195682683</v>
      </c>
      <c r="E43" s="32">
        <v>3604563.2900869795</v>
      </c>
      <c r="F43" s="32">
        <v>3101475.91585</v>
      </c>
      <c r="G43" s="33">
        <v>4788574.157145272</v>
      </c>
    </row>
    <row r="44" spans="1:7" x14ac:dyDescent="0.25">
      <c r="A44" s="94" t="s">
        <v>12</v>
      </c>
      <c r="B44" s="46" t="s">
        <v>5</v>
      </c>
      <c r="C44" s="20" t="s">
        <v>6</v>
      </c>
      <c r="D44" s="21" t="s">
        <v>6</v>
      </c>
      <c r="E44" s="21" t="s">
        <v>6</v>
      </c>
      <c r="F44" s="21" t="s">
        <v>6</v>
      </c>
      <c r="G44" s="22" t="s">
        <v>6</v>
      </c>
    </row>
    <row r="45" spans="1:7" x14ac:dyDescent="0.25">
      <c r="A45" s="89"/>
      <c r="B45" s="44" t="s">
        <v>7</v>
      </c>
      <c r="C45" s="14">
        <f>2.28014</f>
        <v>2.2801399999999998</v>
      </c>
      <c r="D45" s="14">
        <f t="shared" ref="D45:G45" si="4">2.28014</f>
        <v>2.2801399999999998</v>
      </c>
      <c r="E45" s="14">
        <f t="shared" si="4"/>
        <v>2.2801399999999998</v>
      </c>
      <c r="F45" s="14">
        <f t="shared" si="4"/>
        <v>2.2801399999999998</v>
      </c>
      <c r="G45" s="14">
        <f t="shared" si="4"/>
        <v>2.2801399999999998</v>
      </c>
    </row>
    <row r="46" spans="1:7" ht="15.75" thickBot="1" x14ac:dyDescent="0.3">
      <c r="A46" s="95"/>
      <c r="B46" s="45" t="s">
        <v>8</v>
      </c>
      <c r="C46" s="28"/>
      <c r="D46" s="29"/>
      <c r="E46" s="29"/>
      <c r="F46" s="29"/>
      <c r="G46" s="30"/>
    </row>
    <row r="47" spans="1:7" ht="15.75" thickBot="1" x14ac:dyDescent="0.3">
      <c r="A47" s="96" t="s">
        <v>20</v>
      </c>
      <c r="B47" s="97"/>
      <c r="C47" s="31">
        <v>7967031.8007292598</v>
      </c>
      <c r="D47" s="32">
        <v>8561805.2987639122</v>
      </c>
      <c r="E47" s="32">
        <v>8218908.9402589248</v>
      </c>
      <c r="F47" s="32">
        <v>7071799.2947662184</v>
      </c>
      <c r="G47" s="33">
        <v>10918619.47867322</v>
      </c>
    </row>
    <row r="48" spans="1:7" x14ac:dyDescent="0.25">
      <c r="A48" s="94" t="s">
        <v>14</v>
      </c>
      <c r="B48" s="46" t="s">
        <v>5</v>
      </c>
      <c r="C48" s="20" t="s">
        <v>6</v>
      </c>
      <c r="D48" s="21" t="s">
        <v>6</v>
      </c>
      <c r="E48" s="21" t="s">
        <v>6</v>
      </c>
      <c r="F48" s="21" t="s">
        <v>6</v>
      </c>
      <c r="G48" s="22" t="s">
        <v>6</v>
      </c>
    </row>
    <row r="49" spans="1:7" x14ac:dyDescent="0.25">
      <c r="A49" s="89"/>
      <c r="B49" s="44" t="s">
        <v>7</v>
      </c>
      <c r="C49" s="14">
        <f>22.93023</f>
        <v>22.930230000000002</v>
      </c>
      <c r="D49" s="14">
        <f t="shared" ref="D49:G49" si="5">22.93023</f>
        <v>22.930230000000002</v>
      </c>
      <c r="E49" s="14">
        <f t="shared" si="5"/>
        <v>22.930230000000002</v>
      </c>
      <c r="F49" s="14">
        <f t="shared" si="5"/>
        <v>22.930230000000002</v>
      </c>
      <c r="G49" s="14">
        <f t="shared" si="5"/>
        <v>22.930230000000002</v>
      </c>
    </row>
    <row r="50" spans="1:7" ht="15.75" thickBot="1" x14ac:dyDescent="0.3">
      <c r="A50" s="90"/>
      <c r="B50" s="45" t="s">
        <v>8</v>
      </c>
      <c r="C50" s="28"/>
      <c r="D50" s="29"/>
      <c r="E50" s="29"/>
      <c r="F50" s="29"/>
      <c r="G50" s="30"/>
    </row>
    <row r="51" spans="1:7" ht="15.75" thickBot="1" x14ac:dyDescent="0.3">
      <c r="A51" s="96" t="s">
        <v>21</v>
      </c>
      <c r="B51" s="97"/>
      <c r="C51" s="31">
        <v>1335341.0434449648</v>
      </c>
      <c r="D51" s="32">
        <v>1435030.0472476489</v>
      </c>
      <c r="E51" s="32">
        <v>1377557.7548541862</v>
      </c>
      <c r="F51" s="32">
        <v>1185292.6014983526</v>
      </c>
      <c r="G51" s="33">
        <v>1830051.7799232872</v>
      </c>
    </row>
    <row r="52" spans="1:7" x14ac:dyDescent="0.25">
      <c r="A52" s="77" t="s">
        <v>16</v>
      </c>
      <c r="B52" s="78"/>
      <c r="C52" s="34">
        <v>2</v>
      </c>
      <c r="D52" s="35">
        <v>1</v>
      </c>
      <c r="E52" s="35">
        <v>1</v>
      </c>
      <c r="F52" s="35">
        <v>0</v>
      </c>
      <c r="G52" s="36">
        <v>0</v>
      </c>
    </row>
    <row r="53" spans="1:7" ht="15.75" thickBot="1" x14ac:dyDescent="0.3">
      <c r="A53" s="79" t="s">
        <v>17</v>
      </c>
      <c r="B53" s="80"/>
      <c r="C53" s="37">
        <v>1.4977447220826239</v>
      </c>
      <c r="D53" s="38">
        <v>0.69684952027170055</v>
      </c>
      <c r="E53" s="38">
        <v>0.72592237710269325</v>
      </c>
      <c r="F53" s="38">
        <v>0</v>
      </c>
      <c r="G53" s="39">
        <v>0</v>
      </c>
    </row>
    <row r="54" spans="1:7" ht="15.75" thickTop="1" x14ac:dyDescent="0.25"/>
    <row r="55" spans="1:7" ht="15.75" thickBot="1" x14ac:dyDescent="0.3"/>
    <row r="56" spans="1:7" ht="15.75" thickTop="1" x14ac:dyDescent="0.25">
      <c r="A56" s="81"/>
      <c r="B56" s="82"/>
      <c r="C56" s="85" t="s">
        <v>22</v>
      </c>
      <c r="D56" s="86"/>
      <c r="E56" s="86"/>
      <c r="F56" s="86"/>
      <c r="G56" s="87"/>
    </row>
    <row r="57" spans="1:7" ht="15.75" thickBot="1" x14ac:dyDescent="0.3">
      <c r="A57" s="83"/>
      <c r="B57" s="84"/>
      <c r="C57" s="6">
        <v>2013</v>
      </c>
      <c r="D57" s="7">
        <v>2014</v>
      </c>
      <c r="E57" s="7">
        <v>2015</v>
      </c>
      <c r="F57" s="7">
        <v>2016</v>
      </c>
      <c r="G57" s="8">
        <v>2017</v>
      </c>
    </row>
    <row r="58" spans="1:7" x14ac:dyDescent="0.25">
      <c r="A58" s="91" t="s">
        <v>23</v>
      </c>
      <c r="B58" s="92"/>
      <c r="C58" s="47">
        <v>64893418.80262965</v>
      </c>
      <c r="D58" s="48">
        <v>67331971.823288411</v>
      </c>
      <c r="E58" s="48">
        <v>53030641.277674377</v>
      </c>
      <c r="F58" s="48">
        <v>52926431.380350001</v>
      </c>
      <c r="G58" s="49">
        <v>50825270.799916349</v>
      </c>
    </row>
    <row r="59" spans="1:7" x14ac:dyDescent="0.25">
      <c r="A59" s="93" t="s">
        <v>24</v>
      </c>
      <c r="B59" s="74"/>
      <c r="C59" s="50">
        <v>59540619.5948079</v>
      </c>
      <c r="D59" s="51">
        <v>61964598.675213903</v>
      </c>
      <c r="E59" s="51">
        <v>49735331.667492718</v>
      </c>
      <c r="F59" s="51">
        <v>48923267.136282288</v>
      </c>
      <c r="G59" s="52">
        <v>49588063.557701647</v>
      </c>
    </row>
    <row r="60" spans="1:7" x14ac:dyDescent="0.25">
      <c r="A60" s="73" t="s">
        <v>25</v>
      </c>
      <c r="B60" s="74"/>
      <c r="C60" s="50">
        <v>18973442.167081818</v>
      </c>
      <c r="D60" s="51">
        <v>19698717.142653774</v>
      </c>
      <c r="E60" s="51">
        <v>15576121.276911102</v>
      </c>
      <c r="F60" s="51">
        <v>15498441.124511316</v>
      </c>
      <c r="G60" s="52">
        <v>15054952.242229946</v>
      </c>
    </row>
    <row r="61" spans="1:7" x14ac:dyDescent="0.25">
      <c r="A61" s="73" t="s">
        <v>26</v>
      </c>
      <c r="B61" s="74"/>
      <c r="C61" s="53">
        <v>7</v>
      </c>
      <c r="D61" s="54">
        <v>11</v>
      </c>
      <c r="E61" s="54">
        <v>11</v>
      </c>
      <c r="F61" s="54">
        <v>12</v>
      </c>
      <c r="G61" s="55">
        <v>9</v>
      </c>
    </row>
    <row r="62" spans="1:7" ht="15.75" thickBot="1" x14ac:dyDescent="0.3">
      <c r="A62" s="75" t="s">
        <v>27</v>
      </c>
      <c r="B62" s="76"/>
      <c r="C62" s="37">
        <v>0.36893674528624687</v>
      </c>
      <c r="D62" s="38">
        <v>0.55841199811847753</v>
      </c>
      <c r="E62" s="38">
        <v>0.70620919062216037</v>
      </c>
      <c r="F62" s="38">
        <v>0.77427141888622519</v>
      </c>
      <c r="G62" s="39">
        <v>0.59780993358149082</v>
      </c>
    </row>
    <row r="63" spans="1:7" ht="15.75" thickTop="1" x14ac:dyDescent="0.25"/>
  </sheetData>
  <mergeCells count="33">
    <mergeCell ref="A10:A12"/>
    <mergeCell ref="B3:D3"/>
    <mergeCell ref="B4:D4"/>
    <mergeCell ref="A8:B9"/>
    <mergeCell ref="C8:G8"/>
    <mergeCell ref="A24:A26"/>
    <mergeCell ref="A27:B27"/>
    <mergeCell ref="A28:B28"/>
    <mergeCell ref="A29:B29"/>
    <mergeCell ref="A32:B33"/>
    <mergeCell ref="A13:A15"/>
    <mergeCell ref="A16:A18"/>
    <mergeCell ref="A19:B19"/>
    <mergeCell ref="A20:A22"/>
    <mergeCell ref="A23:B23"/>
    <mergeCell ref="C32:G32"/>
    <mergeCell ref="C56:G56"/>
    <mergeCell ref="A58:B58"/>
    <mergeCell ref="A37:A39"/>
    <mergeCell ref="A40:A42"/>
    <mergeCell ref="A43:B43"/>
    <mergeCell ref="A44:A46"/>
    <mergeCell ref="A47:B47"/>
    <mergeCell ref="A48:A50"/>
    <mergeCell ref="A34:A36"/>
    <mergeCell ref="A59:B59"/>
    <mergeCell ref="A60:B60"/>
    <mergeCell ref="A61:B61"/>
    <mergeCell ref="A62:B62"/>
    <mergeCell ref="A51:B51"/>
    <mergeCell ref="A52:B52"/>
    <mergeCell ref="A53:B53"/>
    <mergeCell ref="A56:B57"/>
  </mergeCells>
  <conditionalFormatting sqref="C14:G14 C17:G17 C38:G38 C41:G41 C11:G11 C21:G21 C25:G25 C35:G35 C45:G45 C49:G49">
    <cfRule type="expression" dxfId="43" priority="11">
      <formula>C10="Default"</formula>
    </cfRule>
  </conditionalFormatting>
  <conditionalFormatting sqref="C12:G12 C15:G15 C18:G18 C22:G22 C26:G26 C36:G36 C39:G39 C42:G42 C46:G46">
    <cfRule type="expression" dxfId="42" priority="10">
      <formula>C10="User Input"</formula>
    </cfRule>
  </conditionalFormatting>
  <conditionalFormatting sqref="C12:G12 C15:G15 C18:G18 C22:G22 C26:G26 C36:G36 C39:G39 C42:G42 C46:G46">
    <cfRule type="expression" dxfId="41" priority="9">
      <formula>AND(C10="User Input",OR(ISBLANK(C12)=TRUE,ISTEXT(C12)=TRUE,C12&lt;0))</formula>
    </cfRule>
  </conditionalFormatting>
  <conditionalFormatting sqref="C50:G50">
    <cfRule type="expression" dxfId="40" priority="7">
      <formula>AND(C48="User Input",OR(ISBLANK(C50)=TRUE,ISTEXT(C50)=TRUE,C50&lt;0))</formula>
    </cfRule>
    <cfRule type="expression" dxfId="39" priority="8">
      <formula>C48="User Input"</formula>
    </cfRule>
  </conditionalFormatting>
  <conditionalFormatting sqref="C19:G19 C43:G43">
    <cfRule type="expression" dxfId="38" priority="4">
      <formula>AND(C16="User Input",OR(ISBLANK(C18)=TRUE,ISTEXT(C18)=TRUE,C18&lt;0))</formula>
    </cfRule>
    <cfRule type="expression" dxfId="37" priority="5">
      <formula>AND(C13="User Input",OR(ISBLANK(C15)=TRUE,ISTEXT(C15)=TRUE,C15&lt;0))</formula>
    </cfRule>
    <cfRule type="expression" dxfId="36" priority="6">
      <formula>AND(C10="User Input",OR(ISBLANK(C12)=TRUE,ISTEXT(C12)=TRUE,C12&lt;0))</formula>
    </cfRule>
  </conditionalFormatting>
  <conditionalFormatting sqref="C23:G23 C27:G27 C47:G47 C51:G51">
    <cfRule type="expression" dxfId="35" priority="3">
      <formula>AND(C20="User Input",OR(ISBLANK(C22)=TRUE,ISTEXT(C22)=TRUE,C22&lt;0))</formula>
    </cfRule>
  </conditionalFormatting>
  <conditionalFormatting sqref="C42">
    <cfRule type="expression" dxfId="34" priority="2">
      <formula>AND(C40="User Input",OR(ISBLANK(C42)=TRUE,ISTEXT(C42)=TRUE,C42&lt;0))</formula>
    </cfRule>
  </conditionalFormatting>
  <conditionalFormatting sqref="C53:G53 C29:G29">
    <cfRule type="expression" dxfId="33" priority="1">
      <formula>ISERROR(C29)</formula>
    </cfRule>
  </conditionalFormatting>
  <dataValidations count="2">
    <dataValidation type="list" allowBlank="1" showInputMessage="1" showErrorMessage="1" sqref="C48:G48 C40:G40 C37:G37 C34:G34 C44:G44 C24:G24 C16:G16 C13:G13 C10:G10 C20:G20">
      <formula1>"Default,User Input"</formula1>
    </dataValidation>
    <dataValidation type="list" allowBlank="1" showInputMessage="1" showErrorMessage="1" sqref="B3">
      <formula1>States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INDIRECT(VLOOKUP(B3,'D:\Windows\LTRC Phase 2\Assorted Data and Work\[areawide-non-motorized_exposure_toolv3.xlsm]MPO Lookup List'!#REF!,2,FALSE))</xm:f>
          </x14:formula1>
          <xm:sqref>B4:D4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Statewide</vt:lpstr>
      <vt:lpstr>StatewideSimple</vt:lpstr>
      <vt:lpstr>MSAs</vt:lpstr>
      <vt:lpstr>Alex</vt:lpstr>
      <vt:lpstr>CRPC</vt:lpstr>
      <vt:lpstr>HoumaTib</vt:lpstr>
      <vt:lpstr>calcasieu</vt:lpstr>
      <vt:lpstr>lafayette</vt:lpstr>
      <vt:lpstr>NLCOG</vt:lpstr>
      <vt:lpstr>Ouichita</vt:lpstr>
      <vt:lpstr>NORPC</vt:lpstr>
      <vt:lpstr>Tangi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Tolford-Marthaller</dc:creator>
  <cp:keywords/>
  <dc:description/>
  <cp:lastModifiedBy>Jenny Gilbert</cp:lastModifiedBy>
  <cp:revision/>
  <dcterms:created xsi:type="dcterms:W3CDTF">2022-02-24T18:34:16Z</dcterms:created>
  <dcterms:modified xsi:type="dcterms:W3CDTF">2023-05-17T15:37:11Z</dcterms:modified>
  <cp:category/>
  <cp:contentStatus/>
</cp:coreProperties>
</file>